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a+hWff2AZP5DA+Mm7P6gwAZVKzct3VzlUG4CmshBJZAIl0RBBp6XC4x2lqd2MJq/6XQZyqHesOn9peF5czGoQ==" workbookSaltValue="ofb0QTAK/DzSduK6nmX+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T31" i="8"/>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B32" i="20"/>
  <c r="AA32" i="20"/>
  <c r="AN32" i="20"/>
  <c r="AD32" i="20"/>
  <c r="AC32" i="20"/>
  <c r="AV32" i="20"/>
  <c r="O10" i="11"/>
  <c r="AP32" i="20"/>
  <c r="U17" i="11"/>
  <c r="W32" i="21"/>
  <c r="AQ32" i="20"/>
  <c r="P32" i="20"/>
  <c r="Z32" i="20"/>
  <c r="N32" i="20"/>
  <c r="AO32" i="20"/>
  <c r="AL32" i="20"/>
  <c r="AH32" i="20"/>
  <c r="X32" i="20"/>
  <c r="T32" i="20"/>
  <c r="I10" i="12" l="1"/>
  <c r="K17" i="12"/>
  <c r="K16" i="12"/>
  <c r="K9" i="12"/>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BF13" i="11"/>
  <c r="BH16" i="16"/>
  <c r="BF28" i="11"/>
  <c r="BG20" i="11"/>
  <c r="BK29" i="11"/>
  <c r="BK11" i="11"/>
  <c r="AP10" i="21"/>
  <c r="BH20" i="16"/>
  <c r="BH22" i="16"/>
  <c r="BJ20" i="11"/>
  <c r="AZ13" i="11"/>
  <c r="BH28" i="16"/>
  <c r="V29" i="11"/>
  <c r="V22" i="11"/>
  <c r="AZ21" i="11"/>
  <c r="BJ28" i="11"/>
  <c r="BU11" i="17"/>
  <c r="BU21" i="17"/>
  <c r="BW17" i="20"/>
  <c r="BU9" i="17"/>
  <c r="BU19" i="17"/>
  <c r="BW10" i="20"/>
  <c r="BU17" i="17"/>
  <c r="BF20" i="11"/>
  <c r="BL20" i="11"/>
  <c r="AQ10" i="21"/>
  <c r="BL10" i="11"/>
  <c r="S10" i="17"/>
  <c r="BH10" i="16"/>
  <c r="AO25" i="17"/>
  <c r="BJ17" i="11"/>
  <c r="BK22" i="11"/>
  <c r="BL17" i="11"/>
  <c r="BH22" i="11"/>
  <c r="X12" i="17"/>
  <c r="L22" i="2"/>
  <c r="X22" i="16"/>
  <c r="S17" i="17"/>
  <c r="X19" i="16"/>
  <c r="V16" i="11"/>
  <c r="BG25" i="11"/>
  <c r="Q18" i="20"/>
  <c r="Q23" i="20" s="1"/>
  <c r="BF18" i="11"/>
  <c r="BG22" i="11"/>
  <c r="AZ19" i="11"/>
  <c r="V12" i="21"/>
  <c r="AZ18" i="11"/>
  <c r="AP21" i="20"/>
  <c r="BJ11" i="11"/>
  <c r="R10" i="21"/>
  <c r="BG9" i="11"/>
  <c r="BL11" i="11"/>
  <c r="R18" i="20"/>
  <c r="R23" i="20" s="1"/>
  <c r="BL21" i="11"/>
  <c r="BK18" i="11"/>
  <c r="BK23" i="11" s="1"/>
  <c r="T18" i="16"/>
  <c r="AP18" i="20"/>
  <c r="BG21" i="11"/>
  <c r="BU25" i="17"/>
  <c r="BV28" i="16"/>
  <c r="BV13" i="16"/>
  <c r="BW13" i="20"/>
  <c r="BV21" i="16"/>
  <c r="BU29" i="17"/>
  <c r="BV11" i="16"/>
  <c r="BW11" i="20"/>
  <c r="S21" i="17"/>
  <c r="BW28" i="20"/>
  <c r="BU13" i="17"/>
  <c r="S11" i="17"/>
  <c r="BV20" i="16"/>
  <c r="BV23" i="16" s="1"/>
  <c r="BV26" i="16" s="1"/>
  <c r="BV30" i="16" s="1"/>
  <c r="S25" i="17"/>
  <c r="AZ11" i="11"/>
  <c r="P16" i="17"/>
  <c r="P23" i="17" s="1"/>
  <c r="P31" i="17" s="1"/>
  <c r="BF12" i="11"/>
  <c r="BL16" i="11"/>
  <c r="Q16" i="11" s="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M20" i="11"/>
  <c r="BU28" i="17"/>
  <c r="BW9" i="20"/>
  <c r="BW33" i="20" s="1"/>
  <c r="BV17" i="16"/>
  <c r="BV25" i="16"/>
  <c r="X21" i="16"/>
  <c r="BV22" i="16"/>
  <c r="S22" i="17"/>
  <c r="S16" i="16"/>
  <c r="S23" i="16" s="1"/>
  <c r="BI9" i="11"/>
  <c r="BL28" i="11"/>
  <c r="AO29" i="17"/>
  <c r="BI29" i="11"/>
  <c r="BH11" i="11"/>
  <c r="BG17" i="11"/>
  <c r="P17" i="11" s="1"/>
  <c r="S18" i="17"/>
  <c r="BM21" i="11"/>
  <c r="Q21" i="11" s="1"/>
  <c r="BM9" i="11"/>
  <c r="Q9" i="11" s="1"/>
  <c r="BH12" i="16"/>
  <c r="S16" i="17"/>
  <c r="L12" i="2"/>
  <c r="X10" i="21"/>
  <c r="U9" i="17"/>
  <c r="U31" i="17" s="1"/>
  <c r="L20" i="2"/>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AA31" i="11" l="1"/>
  <c r="U14" i="17"/>
  <c r="AQ17" i="11"/>
  <c r="P12"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<sst xmlns="http://schemas.openxmlformats.org/spreadsheetml/2006/main" count="2682" uniqueCount="1193">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</sst>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cwfrBeH2mQBIScoWs/ROwzCljnms/UONBDWf6UTsgNjwWZOFgWYhDyfn8xmKHoFx8/J3l6EjG66tx0q5pmpFQ==" saltValue="uNjBDNZWZ4ntrQl8J8Qz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13</v>
      </c>
      <c r="F10" s="240">
        <f>IF(ISNUMBER(Datos!K10),Datos!K10," - ")</f>
        <v>3</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0.83333333333333337</v>
      </c>
      <c r="L10" s="1402">
        <f>IF(ISNUMBER(NºAsuntos!I10/NºAsuntos!G10),(NºAsuntos!I10/NºAsuntos!G10)*11," - ")</f>
        <v>80.666666666666657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20.225806451612904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604</v>
      </c>
      <c r="D17" s="239">
        <f>IF(ISNUMBER(IF(D_I="SI",Datos!I17,Datos!I17+Datos!AC17)),IF(D_I="SI",Datos!I17,Datos!I17+Datos!AC17)," - ")</f>
        <v>601</v>
      </c>
      <c r="E17" s="240">
        <f>IF(ISNUMBER(IF(D_I="SI",Datos!J17,Datos!J17+Datos!AD17)),IF(D_I="SI",Datos!J17,Datos!J17+Datos!AD17)," - ")</f>
        <v>358</v>
      </c>
      <c r="F17" s="240">
        <f>IF(ISNUMBER(IF(D_I="SI",Datos!K17,Datos!K17+Datos!AE17)),IF(D_I="SI",Datos!K17,Datos!K17+Datos!AE17)," - ")</f>
        <v>321</v>
      </c>
      <c r="G17" s="1390" t="str">
        <f>IF(Datos!E17&lt;&gt;"",Datos!E17,Datos!D17)</f>
        <v>04</v>
      </c>
      <c r="H17" s="241">
        <f>IF(ISNUMBER(IF(D_I="SI",Datos!L17,Datos!L17+Datos!AF17)),IF(D_I="SI",Datos!L17,Datos!L17+Datos!AF17)," - ")</f>
        <v>641</v>
      </c>
      <c r="I17" s="1400" t="str">
        <f>IF(ISNUMBER(Datos!AS17/Datos!BM17),Datos!AS17/Datos!BM17," - ")</f>
        <v xml:space="preserve"> - </v>
      </c>
      <c r="J17" s="1401">
        <f>IF(ISNUMBER(Datos!BY17/Datos!CN17),Datos!BY17/Datos!CN17," - ")</f>
        <v>0</v>
      </c>
      <c r="K17" s="244">
        <f t="shared" si="3"/>
        <v>6.1258278145695365E-2</v>
      </c>
      <c r="L17" s="1402">
        <f>IF(ISNUMBER(NºAsuntos!I17/NºAsuntos!G17),(NºAsuntos!I17/NºAsuntos!G17)*11," - ")</f>
        <v>21.965732087227416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14</v>
      </c>
      <c r="F18" s="240">
        <f>IF(ISNUMBER(IF(D_I="SI",Datos!K18,Datos!K18+Datos!AE18)),IF(D_I="SI",Datos!K18,Datos!K18+Datos!AE18)," - ")</f>
        <v>25</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-0.24444444444444444</v>
      </c>
      <c r="L18" s="1402">
        <f>IF(ISNUMBER(NºAsuntos!I18/NºAsuntos!G18),(NºAsuntos!I18/NºAsuntos!G18)*11," - ")</f>
        <v>14.96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649</v>
      </c>
      <c r="D23" s="1407">
        <f>SUBTOTAL(9,D16:D22)</f>
        <v>646</v>
      </c>
      <c r="E23" s="1408">
        <f>SUBTOTAL(9,E16:E22)</f>
        <v>372</v>
      </c>
      <c r="F23" s="1408">
        <f>SUBTOTAL(9,F16:F22)</f>
        <v>346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661</v>
      </c>
      <c r="D31" s="1435">
        <f>SUBTOTAL(9,D9:D30)</f>
        <v>658</v>
      </c>
      <c r="E31" s="1436">
        <f>SUBTOTAL(9,E9:E30)</f>
        <v>385</v>
      </c>
      <c r="F31" s="1436">
        <f>SUBTOTAL(9,F9:F30)</f>
        <v>349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Fh+JRExDEo5o672uVtINennA3U7m9gMjiN/VwQFqM+5SHgdWKSzQZXNHnxDewm8nfODDavUGr8QpqEywLq6Vw==" saltValue="XvrnMOPSX7iY40AAus6J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TNq2C2+UN11fU18pcE8uZbXd+/muAj8ZHWTBf8Tz4Xx/PsQXJ7OqNuvUa3jLZNibt85iXoEoJgB4yDpdCDUxA==" saltValue="lui16N5SKYhxpw7tAe8i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13</v>
      </c>
      <c r="K10" s="194">
        <v>3</v>
      </c>
      <c r="L10" s="194">
        <v>22</v>
      </c>
      <c r="M10" s="194">
        <v>2</v>
      </c>
      <c r="N10" s="194">
        <v>1</v>
      </c>
      <c r="O10" s="194">
        <v>0</v>
      </c>
      <c r="P10" s="194">
        <v>1</v>
      </c>
      <c r="Q10" s="194">
        <v>0</v>
      </c>
      <c r="R10" s="194">
        <v>12</v>
      </c>
      <c r="S10" s="194">
        <v>9</v>
      </c>
      <c r="T10" s="194">
        <v>7</v>
      </c>
      <c r="U10" s="194">
        <v>8</v>
      </c>
      <c r="V10" s="194">
        <v>8</v>
      </c>
      <c r="W10" s="194">
        <v>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7</v>
      </c>
      <c r="BA10" s="139">
        <f t="shared" si="0"/>
        <v>8</v>
      </c>
      <c r="BB10" s="139">
        <f t="shared" si="0"/>
        <v>8</v>
      </c>
      <c r="BC10" s="135">
        <f t="shared" si="0"/>
        <v>4</v>
      </c>
      <c r="BD10" s="136">
        <f>IF(ISNUMBER(BA10/AZ10),BA10/AZ10," - ")</f>
        <v>1.1428571428571428</v>
      </c>
      <c r="BE10" s="137">
        <f>IF(ISNUMBER(BB10/BA10),BB10/BA10, " - ")</f>
        <v>1</v>
      </c>
      <c r="BF10" s="137">
        <f>IF(ISNUMBER(BC10/BA10),BC10/BA10, " - ")</f>
        <v>0.5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749</v>
      </c>
      <c r="J12" s="196">
        <v>352</v>
      </c>
      <c r="K12" s="196">
        <v>369</v>
      </c>
      <c r="L12" s="196">
        <v>721</v>
      </c>
      <c r="M12" s="196">
        <v>86</v>
      </c>
      <c r="N12" s="196">
        <v>105</v>
      </c>
      <c r="O12" s="194">
        <v>141</v>
      </c>
      <c r="P12" s="196">
        <v>87</v>
      </c>
      <c r="Q12" s="196">
        <v>61</v>
      </c>
      <c r="R12" s="196">
        <v>2524</v>
      </c>
      <c r="S12" s="196">
        <v>785</v>
      </c>
      <c r="T12" s="196">
        <v>349</v>
      </c>
      <c r="U12" s="196">
        <v>280</v>
      </c>
      <c r="V12" s="196">
        <v>854</v>
      </c>
      <c r="W12" s="196">
        <v>92</v>
      </c>
      <c r="X12" s="202">
        <v>97</v>
      </c>
      <c r="Y12" s="204">
        <v>27</v>
      </c>
      <c r="Z12" s="194">
        <v>27</v>
      </c>
      <c r="AA12" s="194">
        <v>34</v>
      </c>
      <c r="AB12" s="194">
        <v>20</v>
      </c>
      <c r="AC12" s="196">
        <v>0</v>
      </c>
      <c r="AD12" s="196">
        <v>0</v>
      </c>
      <c r="AE12" s="196">
        <v>0</v>
      </c>
      <c r="AF12" s="202">
        <v>0</v>
      </c>
      <c r="AG12" s="215">
        <v>39</v>
      </c>
      <c r="AH12" s="196">
        <v>34</v>
      </c>
      <c r="AI12" s="196">
        <v>39</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824</v>
      </c>
      <c r="AZ12" s="137">
        <f t="shared" si="1"/>
        <v>383</v>
      </c>
      <c r="BA12" s="137">
        <f t="shared" si="1"/>
        <v>319</v>
      </c>
      <c r="BB12" s="137">
        <f t="shared" si="1"/>
        <v>888</v>
      </c>
      <c r="BC12" s="135">
        <f>IF(ISNUMBER(X12),X12," - ")</f>
        <v>97</v>
      </c>
      <c r="BD12" s="136">
        <f t="shared" si="2"/>
        <v>0.83289817232375984</v>
      </c>
      <c r="BE12" s="137">
        <f t="shared" si="3"/>
        <v>2.7836990595611284</v>
      </c>
      <c r="BF12" s="137">
        <f t="shared" si="4"/>
        <v>0.30407523510971785</v>
      </c>
      <c r="BG12" s="209">
        <f t="shared" si="5"/>
        <v>3.7836990595611284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761</v>
      </c>
      <c r="J14" s="197">
        <f t="shared" si="7"/>
        <v>365</v>
      </c>
      <c r="K14" s="197">
        <f t="shared" si="7"/>
        <v>372</v>
      </c>
      <c r="L14" s="197">
        <f t="shared" si="7"/>
        <v>743</v>
      </c>
      <c r="M14" s="197">
        <f t="shared" si="7"/>
        <v>88</v>
      </c>
      <c r="N14" s="197">
        <f t="shared" si="7"/>
        <v>106</v>
      </c>
      <c r="O14" s="197">
        <f t="shared" si="7"/>
        <v>141</v>
      </c>
      <c r="P14" s="197">
        <f t="shared" si="7"/>
        <v>88</v>
      </c>
      <c r="Q14" s="197">
        <f t="shared" si="7"/>
        <v>61</v>
      </c>
      <c r="R14" s="197">
        <f t="shared" si="7"/>
        <v>2536</v>
      </c>
      <c r="S14" s="197">
        <f t="shared" si="7"/>
        <v>794</v>
      </c>
      <c r="T14" s="197">
        <f t="shared" si="7"/>
        <v>356</v>
      </c>
      <c r="U14" s="197">
        <f t="shared" si="7"/>
        <v>288</v>
      </c>
      <c r="V14" s="197">
        <f t="shared" si="7"/>
        <v>862</v>
      </c>
      <c r="W14" s="197">
        <f t="shared" si="7"/>
        <v>96</v>
      </c>
      <c r="X14" s="197">
        <f t="shared" si="7"/>
        <v>100</v>
      </c>
      <c r="Y14" s="197">
        <f t="shared" si="7"/>
        <v>27</v>
      </c>
      <c r="Z14" s="197">
        <f t="shared" si="7"/>
        <v>27</v>
      </c>
      <c r="AA14" s="197">
        <f t="shared" si="7"/>
        <v>34</v>
      </c>
      <c r="AB14" s="197">
        <f t="shared" si="7"/>
        <v>20</v>
      </c>
      <c r="AC14" s="197">
        <f t="shared" si="7"/>
        <v>0</v>
      </c>
      <c r="AD14" s="197">
        <f t="shared" si="7"/>
        <v>0</v>
      </c>
      <c r="AE14" s="197">
        <f t="shared" si="7"/>
        <v>0</v>
      </c>
      <c r="AF14" s="197">
        <f>SUBTOTAL(9,AF9:AF13)</f>
        <v>0</v>
      </c>
      <c r="AG14" s="197">
        <f t="shared" ref="AG14:AT14" si="8">SUBTOTAL(9,AG8:AG13)</f>
        <v>39</v>
      </c>
      <c r="AH14" s="197">
        <f t="shared" si="8"/>
        <v>34</v>
      </c>
      <c r="AI14" s="197">
        <f t="shared" si="8"/>
        <v>39</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833</v>
      </c>
      <c r="AZ14" s="197">
        <f>SUBTOTAL(9,AZ8:AZ13)</f>
        <v>390</v>
      </c>
      <c r="BA14" s="197">
        <f>SUBTOTAL(9,BA8:BA13)</f>
        <v>327</v>
      </c>
      <c r="BB14" s="197">
        <f>SUBTOTAL(9,BB8:BB13)</f>
        <v>896</v>
      </c>
      <c r="BC14" s="197">
        <f>SUBTOTAL(9,BC8:BC13)</f>
        <v>101</v>
      </c>
      <c r="BD14" s="219">
        <f>IF(ISNUMBER(BA14/AZ14),BA14/AZ14," - ")</f>
        <v>0.83846153846153848</v>
      </c>
      <c r="BE14" s="220">
        <f>IF(ISNUMBER(BB14/BA14),BB14/BA14, " - ")</f>
        <v>2.7400611620795106</v>
      </c>
      <c r="BF14" s="220">
        <f>IF(ISNUMBER(BC14/BA14),BC14/BA14, " - ")</f>
        <v>0.30886850152905199</v>
      </c>
      <c r="BG14" s="221">
        <f>IF(ISNUMBER((AY14+AZ14)/BA14),(AY14+AZ14)/BA14," - ")</f>
        <v>3.7400611620795106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601</v>
      </c>
      <c r="J17" s="196">
        <v>358</v>
      </c>
      <c r="K17" s="196">
        <v>321</v>
      </c>
      <c r="L17" s="196">
        <v>641</v>
      </c>
      <c r="M17" s="196">
        <v>67</v>
      </c>
      <c r="N17" s="196">
        <v>160</v>
      </c>
      <c r="O17" s="194">
        <v>0</v>
      </c>
      <c r="P17" s="196">
        <v>6</v>
      </c>
      <c r="Q17" s="196">
        <v>4</v>
      </c>
      <c r="R17" s="196">
        <v>113</v>
      </c>
      <c r="S17" s="196">
        <v>700</v>
      </c>
      <c r="T17" s="196">
        <v>303</v>
      </c>
      <c r="U17" s="196">
        <v>224</v>
      </c>
      <c r="V17" s="196">
        <v>779</v>
      </c>
      <c r="W17" s="196">
        <v>53</v>
      </c>
      <c r="X17" s="202">
        <v>93</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700</v>
      </c>
      <c r="AZ17" s="137">
        <f t="shared" si="10"/>
        <v>303</v>
      </c>
      <c r="BA17" s="137">
        <f t="shared" si="10"/>
        <v>224</v>
      </c>
      <c r="BB17" s="137">
        <f t="shared" si="10"/>
        <v>779</v>
      </c>
      <c r="BC17" s="135">
        <f>IF(ISNUMBER(W17),W17," - ")</f>
        <v>53</v>
      </c>
      <c r="BD17" s="136">
        <f t="shared" ref="BD17:BD22" si="12">IF(ISNUMBER(BA17/AZ17),BA17/AZ17," - ")</f>
        <v>0.73927392739273923</v>
      </c>
      <c r="BE17" s="137">
        <f t="shared" ref="BE17:BE22" si="13">IF(ISNUMBER(BB17/BA17),BB17/BA17, " - ")</f>
        <v>3.4776785714285716</v>
      </c>
      <c r="BF17" s="137">
        <f t="shared" ref="BF17:BF22" si="14">IF(ISNUMBER(BC17/BA17),BC17/BA17, " - ")</f>
        <v>0.23660714285714285</v>
      </c>
      <c r="BG17" s="209">
        <f t="shared" si="11"/>
        <v>4.4776785714285712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14</v>
      </c>
      <c r="K18" s="196">
        <v>25</v>
      </c>
      <c r="L18" s="196">
        <v>34</v>
      </c>
      <c r="M18" s="196">
        <v>2</v>
      </c>
      <c r="N18" s="196">
        <v>13</v>
      </c>
      <c r="O18" s="196">
        <v>0</v>
      </c>
      <c r="P18" s="196">
        <v>0</v>
      </c>
      <c r="Q18" s="196">
        <v>0</v>
      </c>
      <c r="R18" s="196">
        <v>0</v>
      </c>
      <c r="S18" s="196">
        <v>20</v>
      </c>
      <c r="T18" s="196">
        <v>31</v>
      </c>
      <c r="U18" s="196">
        <v>37</v>
      </c>
      <c r="V18" s="196">
        <v>14</v>
      </c>
      <c r="W18" s="196">
        <v>4</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31</v>
      </c>
      <c r="BA18" s="139">
        <f t="shared" si="15"/>
        <v>37</v>
      </c>
      <c r="BB18" s="139">
        <f t="shared" si="15"/>
        <v>14</v>
      </c>
      <c r="BC18" s="135">
        <f>IF(ISNUMBER(W18),W18," - ")</f>
        <v>4</v>
      </c>
      <c r="BD18" s="136">
        <f>IF(ISNUMBER(BA18/AZ18),BA18/AZ18," - ")</f>
        <v>1.1935483870967742</v>
      </c>
      <c r="BE18" s="137">
        <f>IF(ISNUMBER(BB18/BA18),BB18/BA18, " - ")</f>
        <v>0.3783783783783784</v>
      </c>
      <c r="BF18" s="137">
        <f>IF(ISNUMBER(BC18/BA18),BC18/BA18, " - ")</f>
        <v>0.10810810810810811</v>
      </c>
      <c r="BG18" s="209">
        <f>IF(ISNUMBER((AY18+AZ18)/BA18),(AY18+AZ18)/BA18," - ")</f>
        <v>1.3783783783783783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646</v>
      </c>
      <c r="J23" s="197">
        <f t="shared" si="21"/>
        <v>372</v>
      </c>
      <c r="K23" s="197">
        <f t="shared" si="21"/>
        <v>346</v>
      </c>
      <c r="L23" s="197">
        <f t="shared" si="21"/>
        <v>675</v>
      </c>
      <c r="M23" s="197">
        <f t="shared" si="21"/>
        <v>69</v>
      </c>
      <c r="N23" s="197">
        <f t="shared" si="21"/>
        <v>173</v>
      </c>
      <c r="O23" s="197">
        <f t="shared" si="21"/>
        <v>0</v>
      </c>
      <c r="P23" s="197">
        <f t="shared" si="21"/>
        <v>6</v>
      </c>
      <c r="Q23" s="197">
        <f t="shared" si="21"/>
        <v>4</v>
      </c>
      <c r="R23" s="197">
        <f t="shared" si="21"/>
        <v>113</v>
      </c>
      <c r="S23" s="197">
        <f t="shared" si="21"/>
        <v>720</v>
      </c>
      <c r="T23" s="197">
        <f t="shared" si="21"/>
        <v>334</v>
      </c>
      <c r="U23" s="197">
        <f t="shared" si="21"/>
        <v>261</v>
      </c>
      <c r="V23" s="197">
        <f t="shared" si="21"/>
        <v>793</v>
      </c>
      <c r="W23" s="197">
        <f t="shared" si="21"/>
        <v>57</v>
      </c>
      <c r="X23" s="197">
        <f t="shared" si="21"/>
        <v>108</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720</v>
      </c>
      <c r="AZ23" s="197">
        <f>SUBTOTAL(9,AZ15:AZ22)</f>
        <v>334</v>
      </c>
      <c r="BA23" s="197">
        <f>SUBTOTAL(9,BA15:BA22)</f>
        <v>261</v>
      </c>
      <c r="BB23" s="197">
        <f>SUBTOTAL(9,BB15:BB22)</f>
        <v>793</v>
      </c>
      <c r="BC23" s="197">
        <f>SUBTOTAL(9,BC15:BC22)</f>
        <v>57</v>
      </c>
      <c r="BD23" s="219">
        <f>IF(ISNUMBER(BA23/AZ23),BA23/AZ23," - ")</f>
        <v>0.78143712574850299</v>
      </c>
      <c r="BE23" s="220">
        <f>IF(ISNUMBER(BB23/BA23),BB23/BA23, " - ")</f>
        <v>3.0383141762452106</v>
      </c>
      <c r="BF23" s="220">
        <f>IF(ISNUMBER(BC23/BA23),BC23/BA23, " - ")</f>
        <v>0.21839080459770116</v>
      </c>
      <c r="BG23" s="221">
        <f>IF(ISNUMBER((AY23+AZ23)/BA23),(AY23+AZ23)/BA23," - ")</f>
        <v>4.0383141762452111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1407</v>
      </c>
      <c r="J31" s="144">
        <f t="shared" si="36"/>
        <v>737</v>
      </c>
      <c r="K31" s="144">
        <f t="shared" si="36"/>
        <v>718</v>
      </c>
      <c r="L31" s="144">
        <f t="shared" si="36"/>
        <v>1418</v>
      </c>
      <c r="M31" s="144">
        <f t="shared" si="36"/>
        <v>157</v>
      </c>
      <c r="N31" s="144">
        <f t="shared" si="36"/>
        <v>279</v>
      </c>
      <c r="O31" s="144">
        <f t="shared" si="36"/>
        <v>141</v>
      </c>
      <c r="P31" s="144">
        <f t="shared" si="36"/>
        <v>94</v>
      </c>
      <c r="Q31" s="144">
        <f t="shared" si="36"/>
        <v>65</v>
      </c>
      <c r="R31" s="144">
        <f t="shared" si="36"/>
        <v>2649</v>
      </c>
      <c r="S31" s="144">
        <f t="shared" si="36"/>
        <v>1514</v>
      </c>
      <c r="T31" s="144">
        <f t="shared" si="36"/>
        <v>690</v>
      </c>
      <c r="U31" s="144">
        <f t="shared" si="36"/>
        <v>549</v>
      </c>
      <c r="V31" s="144">
        <f t="shared" si="36"/>
        <v>1655</v>
      </c>
      <c r="W31" s="144">
        <f t="shared" si="36"/>
        <v>153</v>
      </c>
      <c r="X31" s="144">
        <f t="shared" si="36"/>
        <v>208</v>
      </c>
      <c r="Y31" s="144">
        <f t="shared" si="36"/>
        <v>27</v>
      </c>
      <c r="Z31" s="144">
        <f t="shared" si="36"/>
        <v>27</v>
      </c>
      <c r="AA31" s="144">
        <f t="shared" si="36"/>
        <v>34</v>
      </c>
      <c r="AB31" s="144">
        <f t="shared" si="36"/>
        <v>20</v>
      </c>
      <c r="AC31" s="144">
        <f t="shared" si="36"/>
        <v>0</v>
      </c>
      <c r="AD31" s="144">
        <f t="shared" si="36"/>
        <v>2</v>
      </c>
      <c r="AE31" s="144">
        <f t="shared" si="36"/>
        <v>2</v>
      </c>
      <c r="AF31" s="144">
        <f t="shared" si="36"/>
        <v>0</v>
      </c>
      <c r="AG31" s="144">
        <f t="shared" si="36"/>
        <v>39</v>
      </c>
      <c r="AH31" s="144">
        <f t="shared" si="36"/>
        <v>34</v>
      </c>
      <c r="AI31" s="144">
        <f t="shared" si="36"/>
        <v>39</v>
      </c>
      <c r="AJ31" s="144">
        <f t="shared" si="36"/>
        <v>34</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1553</v>
      </c>
      <c r="AZ31" s="144">
        <f>SUBTOTAL(9,AZ9:AZ30)</f>
        <v>724</v>
      </c>
      <c r="BA31" s="144">
        <f>SUBTOTAL(9,BA9:BA30)</f>
        <v>588</v>
      </c>
      <c r="BB31" s="144">
        <f>SUBTOTAL(9,BB9:BB30)</f>
        <v>1689</v>
      </c>
      <c r="BC31" s="145">
        <f>SUBTOTAL(9,BC9:BC30)</f>
        <v>158</v>
      </c>
      <c r="BD31" s="227">
        <f>IF(ISNUMBER(BA31/AZ31),BA31/AZ31," - ")</f>
        <v>0.81215469613259672</v>
      </c>
      <c r="BE31" s="224">
        <f>IF(ISNUMBER(BB31/BA31),BB31/BA31, " - ")</f>
        <v>2.8724489795918369</v>
      </c>
      <c r="BF31" s="224">
        <f>IF(ISNUMBER(BC31/BA31),BC31/BA31, " - ")</f>
        <v>0.2687074829931973</v>
      </c>
      <c r="BG31" s="145">
        <f>IF(ISNUMBER((AY31+AZ31)/BA31),(AY31+AZ31)/BA31," - ")</f>
        <v>3.8724489795918369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1aeQz7WENU/AxvBYd/Q+19efLYrgs8d8pQFbECEd4Ox9ylaMnjMsSBygOlBu0BDmTR0ZWSOPJh5zj4ATcXNLw==" saltValue="561G1zh8lRwDZAqci6/F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SGs/pSGsnwjIsNb+rKOTAyFzlJ2utYykd6JUatL510J6Uvs4uhqlXj0oM4vbRzTqz1GISJNmc+Blx/RNJgqg==" saltValue="b2i9/4gMVamJs+BJ+80F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IBI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22</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0.23076923076923078</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2524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1.0633245382585752</v>
      </c>
      <c r="BH12" s="764">
        <f>IF(ISNUMBER(((IF(J_V="SI",Datos!L12/Datos!K12,(Datos!L12+Datos!AB12)/(Datos!K12+Datos!AA12)))*11)/factor_trimestre),((IF(J_V="SI",Datos!L12/Datos!K12,(Datos!L12+Datos!AB12)/(Datos!K12+Datos!AA12)))*11)/factor_trimestre," - ")</f>
        <v>5.5161290322580649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1.0408326661329063E-2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61</v>
      </c>
      <c r="AD14" s="1198">
        <f t="shared" si="2"/>
        <v>0</v>
      </c>
      <c r="AE14" s="1198">
        <f t="shared" si="2"/>
        <v>0</v>
      </c>
      <c r="AF14" s="1198">
        <f t="shared" si="2"/>
        <v>22</v>
      </c>
      <c r="AG14" s="1198">
        <f t="shared" si="2"/>
        <v>0</v>
      </c>
      <c r="AH14" s="1198">
        <f t="shared" si="2"/>
        <v>20</v>
      </c>
      <c r="AI14" s="1198">
        <f t="shared" si="2"/>
        <v>0</v>
      </c>
      <c r="AJ14" s="1198">
        <f t="shared" si="2"/>
        <v>0</v>
      </c>
      <c r="AK14" s="1198">
        <f t="shared" si="2"/>
        <v>0</v>
      </c>
      <c r="AL14" s="1198">
        <f t="shared" si="2"/>
        <v>0</v>
      </c>
      <c r="AM14" s="1198">
        <f t="shared" si="2"/>
        <v>2536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106</v>
      </c>
      <c r="BE14" s="1198">
        <f t="shared" si="2"/>
        <v>0</v>
      </c>
      <c r="BF14" s="1198">
        <f t="shared" si="2"/>
        <v>0</v>
      </c>
      <c r="BG14" s="1198">
        <f>IF(ISNUMBER(Datos!K14/Datos!J14),Datos!K14/Datos!J14," - ")</f>
        <v>1.0191780821917809</v>
      </c>
      <c r="BH14" s="1202">
        <f>IF(ISNUMBER(((Datos!L14/Datos!K14)*11)/factor_trimestre),((Datos!L14/Datos!K14)*11)/factor_trimestre," - ")</f>
        <v>5.991935483870968</v>
      </c>
      <c r="BI14" s="1198">
        <f>IF(ISNUMBER('Resol  Asuntos'!D14/NºAsuntos!G14),'Resol  Asuntos'!D14/NºAsuntos!G14," - ")</f>
        <v>0.21674876847290642</v>
      </c>
      <c r="BJ14" s="1198" t="str">
        <f>IF(ISNUMBER(Datos!CI14/Datos!CJ14),Datos!CI14/Datos!CJ14," - ")</f>
        <v xml:space="preserve"> - </v>
      </c>
      <c r="BK14" s="1198">
        <f>SUBTOTAL(9,BK8:BK13)</f>
        <v>0</v>
      </c>
      <c r="BL14" s="1198">
        <f>IF(ISNUMBER((I14-AB14+L14)/(F14)),(I14-AB14+L14)/(F14)," - ")</f>
        <v>-0.25</v>
      </c>
      <c r="BM14" s="1203">
        <f>SUBTOTAL(9,BM9:BM13)</f>
        <v>0.10131741757041998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604</v>
      </c>
      <c r="G17" s="743">
        <f>IF(ISNUMBER(IF(D_I="SI",Datos!I17,Datos!I17+Datos!AC17)),IF(D_I="SI",Datos!I17,Datos!I17+Datos!AC17)," - ")</f>
        <v>601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321</v>
      </c>
      <c r="AC17" s="240">
        <f>IF(ISNUMBER(Datos!Q17),Datos!Q17," - ")</f>
        <v>4</v>
      </c>
      <c r="AD17" s="374"/>
      <c r="AE17" s="562"/>
      <c r="AF17" s="741">
        <f>IF(ISNUMBER(IF(D_I="SI",Datos!L17,Datos!L17+Datos!AF17)),IF(D_I="SI",Datos!L17,Datos!L17+Datos!AF17)," - ")</f>
        <v>641</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160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0.8966480446927374</v>
      </c>
      <c r="BH17" s="764">
        <f>IF(ISNUMBER(((IF(D_I="SI",Datos!L17/Datos!K17,(Datos!L17+Datos!AF17)/(Datos!K17+Datos!AE17)))*11)/factor_trimestre),((IF(D_I="SI",Datos!L17/Datos!K17,(Datos!L17+Datos!AF17)/(Datos!K17+Datos!AE17)))*11)/factor_trimestre," - ")</f>
        <v>5.990654205607477</v>
      </c>
      <c r="BI17" s="266">
        <f>IF(ISNUMBER('Resol  Asuntos'!D17/NºAsuntos!G17),'Resol  Asuntos'!D17/NºAsuntos!G17," - ")</f>
        <v>0.2087227414330218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1.7857142857142858</v>
      </c>
      <c r="BH18" s="764">
        <f>IF(ISNUMBER(((IF(D_I="SI",Datos!L18/Datos!K18,(Datos!L18+Datos!AF18)/(Datos!K18+Datos!AE18)))*11)/factor_trimestre),((IF(D_I="SI",Datos!L18/Datos!K18,(Datos!L18+Datos!AF18)/(Datos!K18+Datos!AE18)))*11)/factor_trimestre," - ")</f>
        <v>4.08</v>
      </c>
      <c r="BI18" s="763">
        <f>IF(ISNUMBER('Resol  Asuntos'!D18/NºAsuntos!G18),'Resol  Asuntos'!D18/NºAsuntos!G18," - ")</f>
        <v>0.08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604</v>
      </c>
      <c r="G23" s="1197">
        <f>SUBTOTAL(9,G16:G22)</f>
        <v>646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346</v>
      </c>
      <c r="AC23" s="1198">
        <f t="shared" si="5"/>
        <v>4</v>
      </c>
      <c r="AD23" s="1198">
        <f t="shared" si="5"/>
        <v>0</v>
      </c>
      <c r="AE23" s="1198">
        <f t="shared" si="5"/>
        <v>0</v>
      </c>
      <c r="AF23" s="1198">
        <f t="shared" si="5"/>
        <v>675</v>
      </c>
      <c r="AG23" s="1198">
        <f t="shared" si="5"/>
        <v>0</v>
      </c>
      <c r="AH23" s="1198">
        <f t="shared" si="5"/>
        <v>0</v>
      </c>
      <c r="AI23" s="1198">
        <f t="shared" si="5"/>
        <v>0</v>
      </c>
      <c r="AJ23" s="1198">
        <f t="shared" si="5"/>
        <v>0</v>
      </c>
      <c r="AK23" s="1198">
        <f t="shared" si="5"/>
        <v>0</v>
      </c>
      <c r="AL23" s="1198">
        <f t="shared" si="5"/>
        <v>0</v>
      </c>
      <c r="AM23" s="1198">
        <f t="shared" si="5"/>
        <v>113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173</v>
      </c>
      <c r="BE23" s="1198">
        <f t="shared" si="5"/>
        <v>0</v>
      </c>
      <c r="BF23" s="1198">
        <f t="shared" si="5"/>
        <v>0</v>
      </c>
      <c r="BG23" s="1198">
        <f>IF(ISNUMBER(Datos!K23/Datos!J23),Datos!K23/Datos!J23," - ")</f>
        <v>0.93010752688172038</v>
      </c>
      <c r="BH23" s="1202">
        <f>IF(ISNUMBER(((Datos!L23/Datos!K23)*11)/factor_trimestre),((Datos!L23/Datos!K23)*11)/factor_trimestre," - ")</f>
        <v>5.8526011560693654</v>
      </c>
      <c r="BI23" s="1198">
        <f>SUBTOTAL(9,BI16:BI22)</f>
        <v>0.28872274143302179</v>
      </c>
      <c r="BJ23" s="1198">
        <f>SUBTOTAL(9,BJ16:BJ22)</f>
        <v>0</v>
      </c>
      <c r="BK23" s="1198">
        <f>SUBTOTAL(9,BK16:BK22)</f>
        <v>0</v>
      </c>
      <c r="BL23" s="1198">
        <f>IF(ISNUMBER((I23-AB23+L23)/(F23)),(I23-AB23+L23)/(F23)," - ")</f>
        <v>-0.57284768211920534</v>
      </c>
      <c r="BM23" s="1205">
        <f>IF(ISNUMBER((Datos!P23-Datos!Q23)/(Datos!R23-Datos!P23+Datos!Q23)),(Datos!P23-Datos!Q23)/(Datos!R23-Datos!P23+Datos!Q23)," - ")</f>
        <v>1.8018018018018018E-2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616</v>
      </c>
      <c r="G31" s="1117">
        <f t="shared" si="18"/>
        <v>658</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349</v>
      </c>
      <c r="AC31" s="1118">
        <f t="shared" si="19"/>
        <v>65</v>
      </c>
      <c r="AD31" s="1118">
        <f t="shared" si="19"/>
        <v>0</v>
      </c>
      <c r="AE31" s="1118">
        <f t="shared" si="19"/>
        <v>0</v>
      </c>
      <c r="AF31" s="1125">
        <f t="shared" si="19"/>
        <v>697</v>
      </c>
      <c r="AG31" s="1125">
        <f t="shared" si="19"/>
        <v>0</v>
      </c>
      <c r="AH31" s="1125">
        <f t="shared" si="19"/>
        <v>20</v>
      </c>
      <c r="AI31" s="1125">
        <f t="shared" si="19"/>
        <v>0</v>
      </c>
      <c r="AJ31" s="1118">
        <f t="shared" si="19"/>
        <v>0</v>
      </c>
      <c r="AK31" s="1125">
        <f t="shared" si="19"/>
        <v>0</v>
      </c>
      <c r="AL31" s="1125">
        <f t="shared" si="19"/>
        <v>0</v>
      </c>
      <c r="AM31" s="1125">
        <f t="shared" si="19"/>
        <v>2649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157</v>
      </c>
      <c r="BD31" s="1117">
        <f t="shared" si="19"/>
        <v>279</v>
      </c>
      <c r="BE31" s="1117">
        <f t="shared" si="19"/>
        <v>0</v>
      </c>
      <c r="BF31" s="1127">
        <f t="shared" si="19"/>
        <v>0</v>
      </c>
      <c r="BG31" s="1223">
        <f>IF(ISNUMBER(Datos!K31/Datos!J31),Datos!K31/Datos!J31," - ")</f>
        <v>0.97421981004070557</v>
      </c>
      <c r="BH31" s="1223">
        <f>IF(ISNUMBER(((Datos!L31/Datos!K31)*11)/factor_trimestre),((Datos!L31/Datos!K31)*11)/factor_trimestre," - ")</f>
        <v>5.9247910863509752</v>
      </c>
      <c r="BI31" s="1103">
        <f>IF(ISNUMBER(Datos!J31/Datos!I31),Datos!J31/Datos!I31," - ")</f>
        <v>0.52380952380952384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-0.56655844155844159</v>
      </c>
      <c r="BM31" s="1188">
        <f>IF(ISNUMBER((Datos!P31-Datos!Q31+R31)/(Datos!R31-Datos!P31+Datos!Q31-R31)),(Datos!P31-Datos!Q31+R31)/(Datos!R31-Datos!P31+Datos!Q31-R31)," - ")</f>
        <v>1.1068702290076336E-2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308.85249985497393</v>
      </c>
      <c r="G33" s="674">
        <f>IF(ISNUMBER(STDEV(G8:G30)),STDEV(G8:G30),"-")</f>
        <v>298.16717905676114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160.10383535455387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41.530539537618751</v>
      </c>
      <c r="BD33" s="673"/>
      <c r="BE33" s="673">
        <f>IF(ISNUMBER(STDEV(BE8:BE30)),STDEV(BE8:BE30),"-")</f>
        <v>0</v>
      </c>
      <c r="BF33" s="678">
        <f>IF(ISNUMBER(STDEV(BF8:BF30)),STDEV(BF8:BF30),"-")</f>
        <v>0</v>
      </c>
      <c r="BG33" s="1052">
        <f>IF(ISNUMBER(STDEV(BG8:BG30)),STDEV(BG8:BG30),"-")</f>
        <v>0.49559827412484703</v>
      </c>
      <c r="BH33" s="1058">
        <f>IF(ISNUMBER(STDEV(BH8:BH30)),STDEV(BH8:BH30),"-")</f>
        <v>6.7804968004257384</v>
      </c>
      <c r="BI33" s="273">
        <f>IF(ISNUMBER(STDEV(BI8:BI30)),STDEV(BI8:BI30),"-")</f>
        <v>8.6832992254247066E-2</v>
      </c>
      <c r="BJ33" s="244" t="str">
        <f>IF(ISNUMBER(BL33/BM33),BL33/BM33," - ")</f>
        <v xml:space="preserve"> - </v>
      </c>
      <c r="BK33" s="709"/>
      <c r="BL33" s="681">
        <f>IF(ISNUMBER(STDEV(BL8:BL30)),STDEV(BL8:BL30),"-")</f>
        <v>0.22828778531684904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1oX6Q8CI2fIjn4dem5DQu7HBjZac++Od0aPTgUlJHy8dgMslibagZ1ainqhR5YB/swlqpGOiiH94BlhhyMdVg==" saltValue="VdiyPZ2n2MJaxeFcTer9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IBI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22</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v>
      </c>
      <c r="AA12" s="551" t="str">
        <f>IF(ISNUMBER(IF(J_V="SI",Datos!L12,Datos!L12+Datos!AB12)-IF(Monitorios="SI",Datos!CD12,0)),
                          IF(J_V="SI",Datos!L12,Datos!L12+Datos!AB12)-IF(Monitorios="SI",Datos!CD12,0),
                          " - ")</f>
        <v xml:space="preserve"> - </v>
      </c>
      <c r="AB12" s="549"/>
      <c r="AC12" s="549"/>
      <c r="AD12" s="563"/>
      <c r="AE12" s="563">
        <f>IF(ISNUMBER(Datos!R12),Datos!R12," - ")</f>
        <v>2524</v>
      </c>
      <c r="AF12" s="693" t="str">
        <f>IF(ISNUMBER(Datos!BV12),Datos!BV12," - ")</f>
        <v xml:space="preserve"> - </v>
      </c>
      <c r="AG12" s="552" t="str">
        <f>IF(ISNUMBER(Datos!DV12),Datos!DV12," - ")</f>
        <v xml:space="preserve"> - </v>
      </c>
      <c r="AH12" s="553"/>
      <c r="AI12" s="554"/>
      <c r="AJ12" s="552">
        <f>IF(ISNUMBER(Datos!M12),Datos!M12," - ")</f>
        <v>86</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5.5161290322580649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1.0408326661329063E-2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61</v>
      </c>
      <c r="AA14" s="1199">
        <f t="shared" si="3"/>
        <v>22</v>
      </c>
      <c r="AB14" s="1199">
        <f t="shared" si="3"/>
        <v>0</v>
      </c>
      <c r="AC14" s="1199">
        <f t="shared" si="3"/>
        <v>0</v>
      </c>
      <c r="AD14" s="1199">
        <f t="shared" si="3"/>
        <v>0</v>
      </c>
      <c r="AE14" s="1199">
        <f t="shared" si="3"/>
        <v>2536</v>
      </c>
      <c r="AF14" s="1211">
        <f t="shared" si="3"/>
        <v>0</v>
      </c>
      <c r="AG14" s="1211">
        <f t="shared" si="3"/>
        <v>0</v>
      </c>
      <c r="AH14" s="1211">
        <f t="shared" si="3"/>
        <v>0</v>
      </c>
      <c r="AI14" s="1211">
        <f t="shared" si="3"/>
        <v>0</v>
      </c>
      <c r="AJ14" s="1211">
        <f t="shared" si="3"/>
        <v>88</v>
      </c>
      <c r="AK14" s="1211">
        <f t="shared" si="3"/>
        <v>106</v>
      </c>
      <c r="AL14" s="1211">
        <f t="shared" si="3"/>
        <v>0</v>
      </c>
      <c r="AM14" s="1211">
        <f t="shared" si="3"/>
        <v>0</v>
      </c>
      <c r="AN14" s="1211">
        <f t="shared" si="3"/>
        <v>0</v>
      </c>
      <c r="AO14" s="1203">
        <f>IF(ISNUMBER(((NºAsuntos!I14/NºAsuntos!G14)*11)/factor_trimestre),((NºAsuntos!I14/NºAsuntos!G14)*11)/factor_trimestre," - ")</f>
        <v>5.6379310344827589</v>
      </c>
      <c r="AP14" s="1213" t="str">
        <f>IF(ISNUMBER(Datos!CI14/Datos!CJ14),Datos!CI14/Datos!CJ14," - ")</f>
        <v xml:space="preserve"> - </v>
      </c>
      <c r="AQ14" s="1236">
        <f t="shared" ref="AQ14:AV14" si="4">SUBTOTAL(9,AQ9:AQ13)</f>
        <v>0</v>
      </c>
      <c r="AR14" s="1236">
        <f t="shared" si="4"/>
        <v>0.10131741757041998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604</v>
      </c>
      <c r="G17" s="552">
        <f>IF(ISNUMBER(IF(D_I="SI",Datos!I17,Datos!I17+Datos!AC17)),IF(D_I="SI",Datos!I17,Datos!I17+Datos!AC17)," - ")</f>
        <v>601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321</v>
      </c>
      <c r="Z17" s="805">
        <f>IF(ISNUMBER(Datos!Q17),Datos!Q17," - ")</f>
        <v>4</v>
      </c>
      <c r="AA17" s="551">
        <f>IF(ISNUMBER(IF(D_I="SI",Datos!L17,Datos!L17+Datos!AF17)),IF(D_I="SI",Datos!L17,Datos!L17+Datos!AF17)," - ")</f>
        <v>641</v>
      </c>
      <c r="AB17" s="549"/>
      <c r="AC17" s="549"/>
      <c r="AD17" s="563"/>
      <c r="AE17" s="563">
        <f>IF(ISNUMBER(Datos!R17),Datos!R17," - ")</f>
        <v>113</v>
      </c>
      <c r="AF17" s="693" t="str">
        <f>IF(ISNUMBER(Datos!BV17),Datos!BV17," - ")</f>
        <v xml:space="preserve"> - </v>
      </c>
      <c r="AG17" s="552"/>
      <c r="AH17" s="553"/>
      <c r="AI17" s="554"/>
      <c r="AJ17" s="552">
        <f>IF(ISNUMBER(Datos!M17),Datos!M17," - ")</f>
        <v>67</v>
      </c>
      <c r="AK17" s="693">
        <f>IF(ISNUMBER(Datos!N17),Datos!N17," - ")</f>
        <v>160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5.990654205607477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604</v>
      </c>
      <c r="G23" s="1197">
        <f>SUBTOTAL(9,G16:G22)</f>
        <v>646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346</v>
      </c>
      <c r="Z23" s="1240">
        <f t="shared" si="6"/>
        <v>4</v>
      </c>
      <c r="AA23" s="1240">
        <f t="shared" si="6"/>
        <v>675</v>
      </c>
      <c r="AB23" s="1240">
        <f t="shared" si="6"/>
        <v>0</v>
      </c>
      <c r="AC23" s="1240">
        <f t="shared" si="6"/>
        <v>0</v>
      </c>
      <c r="AD23" s="1240">
        <f t="shared" si="6"/>
        <v>0</v>
      </c>
      <c r="AE23" s="1240">
        <f t="shared" si="6"/>
        <v>113</v>
      </c>
      <c r="AF23" s="1240">
        <f t="shared" si="6"/>
        <v>0</v>
      </c>
      <c r="AG23" s="1240">
        <f t="shared" si="6"/>
        <v>0</v>
      </c>
      <c r="AH23" s="1240">
        <f t="shared" si="6"/>
        <v>0</v>
      </c>
      <c r="AI23" s="1240">
        <f t="shared" si="6"/>
        <v>0</v>
      </c>
      <c r="AJ23" s="1240">
        <f t="shared" si="6"/>
        <v>69</v>
      </c>
      <c r="AK23" s="1240">
        <f t="shared" si="6"/>
        <v>173</v>
      </c>
      <c r="AL23" s="1240">
        <f t="shared" si="6"/>
        <v>0</v>
      </c>
      <c r="AM23" s="1240">
        <f t="shared" si="6"/>
        <v>0</v>
      </c>
      <c r="AN23" s="1240">
        <f t="shared" si="6"/>
        <v>0</v>
      </c>
      <c r="AO23" s="1242">
        <f>IF(ISNUMBER(((NºAsuntos!I23/NºAsuntos!G23)*11)/factor_trimestre),((NºAsuntos!I23/NºAsuntos!G23)*11)/factor_trimestre," - ")</f>
        <v>5.8526011560693654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616</v>
      </c>
      <c r="G31" s="1117">
        <f t="shared" si="12"/>
        <v>658</v>
      </c>
      <c r="H31" s="1118">
        <f t="shared" si="12"/>
        <v>0</v>
      </c>
      <c r="I31" s="1117">
        <f t="shared" si="12"/>
        <v>0</v>
      </c>
      <c r="J31" s="1119">
        <f t="shared" si="12"/>
        <v>0</v>
      </c>
      <c r="K31" s="1117">
        <f t="shared" si="12"/>
        <v>0</v>
      </c>
      <c r="L31" s="1120">
        <f t="shared" si="12"/>
        <v>0</v>
      </c>
      <c r="M31" s="1117">
        <f t="shared" si="12"/>
        <v>0</v>
      </c>
      <c r="N31" s="1118">
        <f t="shared" si="12"/>
        <v>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349</v>
      </c>
      <c r="Z31" s="1124">
        <f t="shared" si="13"/>
        <v>65</v>
      </c>
      <c r="AA31" s="1125">
        <f t="shared" si="13"/>
        <v>697</v>
      </c>
      <c r="AB31" s="1125">
        <f t="shared" si="13"/>
        <v>0</v>
      </c>
      <c r="AC31" s="1125">
        <f t="shared" si="13"/>
        <v>0</v>
      </c>
      <c r="AD31" s="1126">
        <f t="shared" si="13"/>
        <v>0</v>
      </c>
      <c r="AE31" s="1126">
        <f t="shared" si="13"/>
        <v>2649</v>
      </c>
      <c r="AF31" s="1127">
        <f t="shared" si="13"/>
        <v>0</v>
      </c>
      <c r="AG31" s="1128">
        <f t="shared" si="13"/>
        <v>0</v>
      </c>
      <c r="AH31" s="1129">
        <f t="shared" si="13"/>
        <v>0</v>
      </c>
      <c r="AI31" s="1127">
        <f t="shared" si="13"/>
        <v>0</v>
      </c>
      <c r="AJ31" s="1117">
        <f t="shared" si="13"/>
        <v>157</v>
      </c>
      <c r="AK31" s="1117">
        <f t="shared" si="13"/>
        <v>279</v>
      </c>
      <c r="AL31" s="1117">
        <f t="shared" si="13"/>
        <v>0</v>
      </c>
      <c r="AM31" s="1130">
        <f t="shared" si="13"/>
        <v>0</v>
      </c>
      <c r="AN31" s="1120">
        <f>IF(ISNUMBER(Datos!K31/Datos!J31),Datos!K31/Datos!J31," - ")</f>
        <v>0.97421981004070557</v>
      </c>
      <c r="AO31" s="1120">
        <f>IF(ISNUMBER(FIND("06",Criterios!A8,1)),(IF(ISNUMBER(((Datos!R31/Datos!Q31)*11)/factor_trimestre),((Datos!R31/Datos!Q31)*11)/factor_trimestre," - ")),(IF(ISNUMBER(((Datos!L31/Datos!K31)*11)/factor_trimestre),((Datos!L31/Datos!K31)*11)/factor_trimestre," - ")))</f>
        <v>5.9247910863509752</v>
      </c>
      <c r="AP31" s="1131" t="str">
        <f>IF(ISNUMBER(Datos!CI31/Datos!CJ31),Datos!CI31/Datos!CJ31," - ")</f>
        <v xml:space="preserve"> - </v>
      </c>
      <c r="AQ31" s="1131">
        <f>IF(OR(ISNUMBER(FIND("01",Criterios!A8,1)),ISNUMBER(FIND("02",Criterios!A8,1)),ISNUMBER(FIND("03",Criterios!A8,1)),ISNUMBER(FIND("04",Criterios!A8,1))),(J31-Y31+K31)/(F31-K31),(I31-Y31+K31)/(F31-K31))</f>
        <v>-0.56655844155844159</v>
      </c>
      <c r="AR31" s="1131">
        <f>IF(ISNUMBER((Datos!P31-Datos!Q31+O31)/(Datos!R31-Datos!P31+Datos!Q31-O31)),(Datos!P31-Datos!Q31+O31)/(Datos!R31-Datos!P31+Datos!Q31-O31)," - ")</f>
        <v>1.1068702290076336E-2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308.85249985497393</v>
      </c>
      <c r="G33" s="674">
        <f>IF(ISNUMBER(STDEV(G8:G30)),STDEV(G8:G30),"-")</f>
        <v>298.16717905676114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41.530539537618751</v>
      </c>
      <c r="AK33" s="276"/>
      <c r="AL33" s="276">
        <f>IF(ISNUMBER(STDEV(AL8:AL30)),STDEV(AL8:AL30),"-")</f>
        <v>0</v>
      </c>
      <c r="AM33" s="278">
        <f>IF(ISNUMBER(STDEV(AM8:AM30)),STDEV(AM8:AM30),"-")</f>
        <v>0</v>
      </c>
      <c r="AN33" s="660">
        <f>IF(ISNUMBER(STDEV(AN8:AN30)),STDEV(AN8:AN30),"-")</f>
        <v>0</v>
      </c>
      <c r="AO33" s="661">
        <f>IF(ISNUMBER(STDEV(AO8:AO30)),STDEV(AO8:AO30),"-")</f>
        <v>6.8054499093480088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YEKKOgnx/APGiKatqb3eXdk79v0HA2NmGHjCHxDx5AA4tvVTQPNo2SaPRZ7H5mhhMxSE1TMGRAVFsO+Kf2P+w==" saltValue="dirrG7a62EH6epMnEuEN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zZziSLo6POeKFzLRuHIA1D+WExKyzVhFSvb9m4SmuXgnv9SNqSD1K9Be/2TkOm4E/DkihnPh8vk/lk+y0Nz8w==" saltValue="HIbImPPb8T4SwEXi+ud0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EGFZd1uh8eqwZb3roch6wuqRpvxm2BvqJa70+lRqkotLE//8k0Rxw3aFO3j9JrvvB6X6WAABvIFEqFJE9RfA==" saltValue="0Qd4gWT/Q9b25/h5kVbz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IBI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0.21674876847290642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0.15326452400102508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gxADo6G63rnVmSR4phh7MWIDJB5Cb3zP6wnczJjE5p07AvQQHaRj3smqCn4VaWE30uMWEH4frd36/cc3o8u2w==" saltValue="sWLw1TLLBuaTDu5s0lf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nc2NtzUgu5sifOaDQT98aIhPkxXR5CRYm0znMEpMajh7K3tr4wq1P/Mmd1obVHGA15RbpDYnyvAkrhf8RtPPw==" saltValue="U+B7Md4UoHrR0jdyxMde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IBI</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13</v>
      </c>
      <c r="F10" s="452">
        <f>IF(ISNUMBER(E10/B10),E10/B10," - ")</f>
        <v>13</v>
      </c>
      <c r="G10" s="451">
        <f>IF(ISNUMBER(Datos!K10),Datos!K10," - ")</f>
        <v>3</v>
      </c>
      <c r="H10" s="452">
        <f>IF(ISNUMBER(G10/B10),G10/B10," - ")</f>
        <v>3</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776</v>
      </c>
      <c r="D12" s="452">
        <f>IF(ISNUMBER(C12/Datos!BH12),C12/Datos!BH12," - ")</f>
        <v>388</v>
      </c>
      <c r="E12" s="451">
        <f>IF(ISNUMBER(IF(J_V="SI",Datos!J12,Datos!J12+Datos!Z12)),IF(J_V="SI",Datos!J12,Datos!J12+Datos!Z12)," - ")</f>
        <v>379</v>
      </c>
      <c r="F12" s="452">
        <f>IF(ISNUMBER(E12/B12),E12/B12," - ")</f>
        <v>189.5</v>
      </c>
      <c r="G12" s="451">
        <f>IF(ISNUMBER(IF(J_V="SI",Datos!K12,Datos!K12+Datos!AA12)),IF(J_V="SI",Datos!K12,Datos!K12+Datos!AA12)," - ")</f>
        <v>403</v>
      </c>
      <c r="H12" s="452">
        <f>IF(ISNUMBER(G12/B12),G12/B12," - ")</f>
        <v>201.5</v>
      </c>
      <c r="I12" s="451">
        <f>IF(ISNUMBER(IF(J_V="SI",Datos!L12,Datos!L12+Datos!AB12)),IF(J_V="SI",Datos!L12,Datos!L12+Datos!AB12)," - ")</f>
        <v>741</v>
      </c>
      <c r="J12" s="452">
        <f>IF(ISNUMBER(I12/B12),I12/B12," - ")</f>
        <v>370.5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788</v>
      </c>
      <c r="D14" s="1147" t="str">
        <f>IF(ISNUMBER(C14/Datos!BI14),C14/Datos!BI14," - ")</f>
        <v xml:space="preserve"> - </v>
      </c>
      <c r="E14" s="1146">
        <f>SUBTOTAL(9,E8:E13)</f>
        <v>392</v>
      </c>
      <c r="F14" s="1147">
        <f>IF(ISNUMBER(E14/B14),E14/B14," - ")</f>
        <v>196</v>
      </c>
      <c r="G14" s="1146">
        <f>SUBTOTAL(9,G8:G13)</f>
        <v>406</v>
      </c>
      <c r="H14" s="1147">
        <f>IF(ISNUMBER(G14/B14),G14/B14," - ")</f>
        <v>203</v>
      </c>
      <c r="I14" s="1146">
        <f>SUBTOTAL(9,I8:I13)</f>
        <v>763</v>
      </c>
      <c r="J14" s="1147">
        <f>IF(ISNUMBER(I14/B14),I14/B14," - ")</f>
        <v>381.5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601</v>
      </c>
      <c r="D17" s="452">
        <f>IF(ISNUMBER(C17/Datos!BH17),C17/Datos!BH17," - ")</f>
        <v>300.5</v>
      </c>
      <c r="E17" s="451">
        <f>IF(ISNUMBER(IF(D_I="SI",Datos!J17,Datos!J17+Datos!AD17)),IF(D_I="SI",Datos!J17,Datos!J17+Datos!AD17)," - ")</f>
        <v>358</v>
      </c>
      <c r="F17" s="452">
        <f>IF(ISNUMBER(E17/B17),E17/B17," - ")</f>
        <v>179</v>
      </c>
      <c r="G17" s="451">
        <f>IF(ISNUMBER(IF(D_I="SI",Datos!K17,Datos!K17+Datos!AE17)),IF(D_I="SI",Datos!K17,Datos!K17+Datos!AE17)," - ")</f>
        <v>321</v>
      </c>
      <c r="H17" s="452">
        <f>IF(ISNUMBER(G17/B17),G17/B17," - ")</f>
        <v>160.5</v>
      </c>
      <c r="I17" s="451">
        <f>IF(ISNUMBER(IF(D_I="SI",Datos!L17,Datos!L17+Datos!AF17)),IF(D_I="SI",Datos!L17,Datos!L17+Datos!AF17)," - ")</f>
        <v>641</v>
      </c>
      <c r="J17" s="452">
        <f>IF(ISNUMBER(I17/B17),I17/B17," - ")</f>
        <v>320.5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14</v>
      </c>
      <c r="F18" s="452">
        <f>IF(ISNUMBER(E18/B18),E18/B18," - ")</f>
        <v>14</v>
      </c>
      <c r="G18" s="451">
        <f>IF(ISNUMBER(IF(D_I="SI",Datos!K18,Datos!K18+Datos!AE18)),IF(D_I="SI",Datos!K18,Datos!K18+Datos!AE18)," - ")</f>
        <v>25</v>
      </c>
      <c r="H18" s="452">
        <f>IF(ISNUMBER(G18/B18),G18/B18," - ")</f>
        <v>25</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646</v>
      </c>
      <c r="D23" s="1147" t="str">
        <f>IF(ISNUMBER(C23/Datos!BI23),C23/Datos!BI23," - ")</f>
        <v xml:space="preserve"> - </v>
      </c>
      <c r="E23" s="1146">
        <f>SUBTOTAL(9,E15:E22)</f>
        <v>372</v>
      </c>
      <c r="F23" s="1147">
        <f>IF(ISNUMBER(E23/B23),E23/B23," - ")</f>
        <v>186</v>
      </c>
      <c r="G23" s="1146">
        <f>SUBTOTAL(9,G15:G22)</f>
        <v>346</v>
      </c>
      <c r="H23" s="1147">
        <f>IF(ISNUMBER(G23/B23),G23/B23," - ")</f>
        <v>173</v>
      </c>
      <c r="I23" s="1146">
        <f>SUBTOTAL(9,I15:I22)</f>
        <v>675</v>
      </c>
      <c r="J23" s="1147">
        <f>IF(ISNUMBER(I23/B23),I23/B23," - ")</f>
        <v>337.5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1434</v>
      </c>
      <c r="D31" s="1085" t="str">
        <f>IF(ISNUMBER(C31/Datos!BI31),C31/Datos!BI31," - ")</f>
        <v xml:space="preserve"> - </v>
      </c>
      <c r="E31" s="1084">
        <f>SUBTOTAL(9,E9:E30)</f>
        <v>764</v>
      </c>
      <c r="F31" s="1085">
        <f>IF(ISNUMBER(E31/B31),E31/B31," - ")</f>
        <v>382</v>
      </c>
      <c r="G31" s="1084">
        <f>SUBTOTAL(9,G9:G30)</f>
        <v>752</v>
      </c>
      <c r="H31" s="1085">
        <f>IF(ISNUMBER(G31/B31),G31/B31," - ")</f>
        <v>376</v>
      </c>
      <c r="I31" s="1084">
        <f>SUBTOTAL(9,I9:I30)</f>
        <v>1438</v>
      </c>
      <c r="J31" s="1085">
        <f>IF(ISNUMBER(I31/B31),I31/B31," - ")</f>
        <v>719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NRkb4MMZfzp5YrJ8ATwwJ8FpHOQjsNfLDIJTvMnV2JLK4TvI2FImbCO0fnv6J0WIw4aaN7EUma4eR8GkepjCA==" saltValue="+llQM4lnmsFhoH6m2b6u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IBI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5.5161290322580649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1.0408326661329063E-2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61</v>
      </c>
      <c r="AE14" s="1257">
        <f t="shared" si="1"/>
        <v>0</v>
      </c>
      <c r="AF14" s="1257">
        <f t="shared" si="1"/>
        <v>22</v>
      </c>
      <c r="AG14" s="1257">
        <f t="shared" si="1"/>
        <v>0</v>
      </c>
      <c r="AH14" s="1257">
        <f t="shared" si="1"/>
        <v>2524</v>
      </c>
      <c r="AI14" s="1257">
        <f t="shared" si="1"/>
        <v>0</v>
      </c>
      <c r="AJ14" s="1257">
        <f t="shared" si="1"/>
        <v>0</v>
      </c>
      <c r="AK14" s="1257">
        <f t="shared" si="1"/>
        <v>0</v>
      </c>
      <c r="AL14" s="1257">
        <f t="shared" si="1"/>
        <v>88</v>
      </c>
      <c r="AM14" s="1257">
        <f t="shared" si="1"/>
        <v>106</v>
      </c>
      <c r="AN14" s="1257">
        <f t="shared" si="1"/>
        <v>0</v>
      </c>
      <c r="AO14" s="1257">
        <f t="shared" si="1"/>
        <v>0</v>
      </c>
      <c r="AP14" s="1262">
        <f>IF(ISNUMBER(((Datos!L14/Datos!K14)*11)/factor_trimestre),((Datos!L14/Datos!K14)*11)/factor_trimestre," - ")</f>
        <v>5.991935483870968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1.0408326661329063E-2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5.8526011560693654</v>
      </c>
      <c r="AQ23" s="1262">
        <f>IF(ISNUMBER(((Datos!M23/Datos!L23)*11)/factor_trimestre),((Datos!M23/Datos!L23)*11)/factor_trimestre," - ")</f>
        <v>0.3066666666666667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1.8018018018018018E-2</v>
      </c>
      <c r="AW23" s="1265">
        <f>IF(ISNUMBER((Datos!Q23-Datos!R23)/(Datos!S23-Datos!Q23+Datos!R23)),(Datos!Q23-Datos!R23)/(Datos!S23-Datos!Q23+Datos!R23)," - ")</f>
        <v>-0.13148371531966224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61</v>
      </c>
      <c r="AE31" s="1284">
        <f t="shared" si="9"/>
        <v>0</v>
      </c>
      <c r="AF31" s="1285">
        <f t="shared" si="9"/>
        <v>22</v>
      </c>
      <c r="AG31" s="1285">
        <f t="shared" si="9"/>
        <v>0</v>
      </c>
      <c r="AH31" s="1285">
        <f t="shared" si="9"/>
        <v>2524</v>
      </c>
      <c r="AI31" s="1285">
        <f t="shared" si="9"/>
        <v>0</v>
      </c>
      <c r="AJ31" s="1286">
        <f t="shared" si="9"/>
        <v>0</v>
      </c>
      <c r="AK31" s="1286">
        <f t="shared" si="9"/>
        <v>0</v>
      </c>
      <c r="AL31" s="1278">
        <f t="shared" si="9"/>
        <v>88</v>
      </c>
      <c r="AM31" s="1278">
        <f t="shared" si="9"/>
        <v>106</v>
      </c>
      <c r="AN31" s="1278">
        <f t="shared" si="9"/>
        <v>0</v>
      </c>
      <c r="AO31" s="1278">
        <f t="shared" si="9"/>
        <v>0</v>
      </c>
      <c r="AP31" s="1278">
        <f>IF(ISNUMBER(((Datos!L31/Datos!K31)*11)/factor_trimestre),((Datos!L31/Datos!K31)*11)/factor_trimestre," - ")</f>
        <v>5.9247910863509752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1.1068702290076336E-2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44.679600117577891</v>
      </c>
      <c r="AM33" s="1006"/>
      <c r="AN33" s="1006">
        <f>IF(ISNUMBER(STDEV(AN8:AN30)),STDEV(AN8:AN30),"-")</f>
        <v>0</v>
      </c>
      <c r="AO33" s="1012">
        <f>IF(ISNUMBER(STDEV(AO8:AO30)),STDEV(AO8:AO30),"-")</f>
        <v>0</v>
      </c>
      <c r="AP33" s="1065">
        <f>IF(ISNUMBER(STDEV(AP8:AP30)),STDEV(AP8:AP30),"-")</f>
        <v>8.1090157663301454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2yQYZsnE8mQEolmOH8NiMzFIJmZr4Gtp/m6f824f8wswmC4aimx8LOUBrQy7sC0cyd5Yjp9XP6B4GnM+FOuzA==" saltValue="Kj6UAbQo8uRmj7V2ua5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IBI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6a/J/ixv4PqMb2847/No1FGZBs7ZHfeWwz4XS5c4L71TyM9RlsiD3+4SyoVJGpwHKkGK6+JJ5EqjTGsE7hM/A==" saltValue="SXn7sn9cW1mh/uw7B8YK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IBI</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86</v>
      </c>
      <c r="E12" s="452">
        <f t="shared" si="0"/>
        <v>43</v>
      </c>
      <c r="F12" s="451">
        <f>IF(ISNUMBER(Datos!N12),Datos!N12," - ")</f>
        <v>105</v>
      </c>
      <c r="G12" s="452">
        <f t="shared" si="1"/>
        <v>52.5</v>
      </c>
      <c r="H12" s="451">
        <f>IF(ISNUMBER(Datos!O12),Datos!O12," - ")</f>
        <v>141</v>
      </c>
      <c r="I12" s="452">
        <f t="shared" si="2"/>
        <v>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106</v>
      </c>
      <c r="G14" s="1147">
        <f t="shared" si="1"/>
        <v>35.333333333333336</v>
      </c>
      <c r="H14" s="1146">
        <f>SUBTOTAL(9,H9:H13)</f>
        <v>141</v>
      </c>
      <c r="I14" s="1147">
        <f>IF(ISNUMBER(H14/B14),H14/B14," - ")</f>
        <v>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67</v>
      </c>
      <c r="E17" s="452">
        <f t="shared" si="3"/>
        <v>33.5</v>
      </c>
      <c r="F17" s="451">
        <f>IF(ISNUMBER(Datos!N17),Datos!N17," - ")</f>
        <v>160</v>
      </c>
      <c r="G17" s="452">
        <f t="shared" si="4"/>
        <v>80</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173</v>
      </c>
      <c r="G23" s="1147">
        <f t="shared" si="4"/>
        <v>57.666666666666664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157</v>
      </c>
      <c r="E31" s="1085">
        <f>IF(ISNUMBER(D31/B31),D31/B31," - ")</f>
        <v>78.5</v>
      </c>
      <c r="F31" s="1084">
        <f>SUBTOTAL(9,F8:F30)</f>
        <v>279</v>
      </c>
      <c r="G31" s="1085">
        <f>IF(ISNUMBER(F31/B31),F31/B31," - ")</f>
        <v>139.5</v>
      </c>
      <c r="H31" s="1084">
        <f>SUBTOTAL(9,H8:H30)</f>
        <v>141</v>
      </c>
      <c r="I31" s="1085">
        <f>IF(ISNUMBER(H31/B31),H31/B31," - ")</f>
        <v>70.5</v>
      </c>
    </row>
    <row r="34" spans="1:1">
      <c r="A34" s="439" t="str">
        <f>Criterios!A4</f>
        <v>Fecha Informe: 05 may. 2023</v>
      </c>
    </row>
    <row r="39" spans="1:1">
      <c r="A39" s="462"/>
    </row>
  </sheetData>
  <sheetProtection algorithmName="SHA-512" hashValue="BdYHsomjMuL8nnMeymOS9PH4yXsE95uF/gAOUPK9zki1xtKgdqdG+RC5URN4+4Tt5bbqFkr9kVYm+d++oV22gQ==" saltValue="9EZ348XvIXOEs6oPTMs+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IBI</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87</v>
      </c>
      <c r="C12" s="489">
        <f>IF(ISNUMBER(Datos!Q12),Datos!Q12," - ")</f>
        <v>61</v>
      </c>
      <c r="D12" s="456">
        <f>IF(ISNUMBER(Datos!R12),Datos!R12," - ")</f>
        <v>2524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v>
      </c>
      <c r="C14" s="1150">
        <f>SUBTOTAL(9,C9:C13)</f>
        <v>61</v>
      </c>
      <c r="D14" s="1148">
        <f>SUBTOTAL(9,D9:D13)</f>
        <v>2536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4</v>
      </c>
      <c r="D17" s="456">
        <f>IF(ISNUMBER(Datos!R17),Datos!R17," - ")</f>
        <v>113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4</v>
      </c>
      <c r="D23" s="1148">
        <f>SUBTOTAL(9,D16:D22)</f>
        <v>113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v>
      </c>
      <c r="C31" s="1089">
        <f>SUBTOTAL(9,C8:C30)</f>
        <v>65</v>
      </c>
      <c r="D31" s="1090">
        <f>SUBTOTAL(9,D8:D30)</f>
        <v>2649</v>
      </c>
    </row>
    <row r="32" spans="1:4" ht="7.5" customHeight="1"/>
    <row r="33" spans="1:1" ht="6" customHeight="1"/>
    <row r="34" spans="1:1">
      <c r="A34" s="439" t="str">
        <f>Criterios!A4</f>
        <v>Fecha Informe: 05 may. 2023</v>
      </c>
    </row>
    <row r="39" spans="1:1">
      <c r="A39" s="462"/>
    </row>
  </sheetData>
  <sheetProtection algorithmName="SHA-512" hashValue="locJ1xEaUYGLVj64y2V+MVoYb03sWs5hOJNhr79pBeXWmmIgB6zJ6WeDD5gZZReSUfKGE6KuyGy4hyhoYoQT8g==" saltValue="4TFepRSbS8M2bCnKCORQ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IBI</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0.8571428571428571</v>
      </c>
      <c r="D10" s="515">
        <f>IF(ISNUMBER((Datos!K10-Datos!U10)/Datos!U10),(Datos!K10-Datos!U10)/Datos!U10," - ")</f>
        <v>-0.625</v>
      </c>
      <c r="E10" s="515">
        <f>IF(ISNUMBER((Datos!L10-Datos!V10)/Datos!V10),(Datos!L10-Datos!V10)/Datos!V10," - ")</f>
        <v>1.75</v>
      </c>
      <c r="F10" s="515">
        <f>IF(ISNUMBER((Datos!M10-Datos!W10)/Datos!W10),(Datos!M10-Datos!W10)/Datos!W10," - ")</f>
        <v>-0.5</v>
      </c>
      <c r="G10" s="516">
        <f>IF(ISNUMBER((Datos!N10-Datos!X10)/Datos!X10),(Datos!N10-Datos!X10)/Datos!X10," - ")</f>
        <v>-0.66666666666666663</v>
      </c>
      <c r="H10" s="514">
        <f>IF(ISNUMBER(((NºAsuntos!G10/NºAsuntos!E10)-Datos!BD10)/Datos!BD10),((NºAsuntos!G10/NºAsuntos!E10)-Datos!BD10)/Datos!BD10," - ")</f>
        <v>-0.79807692307692302</v>
      </c>
      <c r="I10" s="515">
        <f>IF(ISNUMBER(((NºAsuntos!I10/NºAsuntos!G10)-Datos!BE10)/Datos!BE10),((NºAsuntos!I10/NºAsuntos!G10)-Datos!BE10)/Datos!BE10," - ")</f>
        <v>6.333333333333333</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3.166666666666667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-5.8252427184466021E-2</v>
      </c>
      <c r="C12" s="515">
        <f>IF(ISNUMBER(
   IF(J_V="SI",(Datos!J12-Datos!T12)/Datos!T12,(Datos!J12+Datos!Z12-(Datos!T12+Datos!AH12))/(Datos!T12+Datos!AH12))
     ),IF(J_V="SI",(Datos!J12-Datos!T12)/Datos!T12,(Datos!J12+Datos!Z12-(Datos!T12+Datos!AH12))/(Datos!T12+Datos!AH12))," - ")</f>
        <v>-1.0443864229765013E-2</v>
      </c>
      <c r="D12" s="515">
        <f>IF(ISNUMBER(
   IF(J_V="SI",(Datos!K12-Datos!U12)/Datos!U12,(Datos!K12+Datos!AA12-(Datos!U12+Datos!AI12))/(Datos!U12+Datos!AI12))
     ),IF(J_V="SI",(Datos!K12-Datos!U12)/Datos!U12,(Datos!K12+Datos!AA12-(Datos!U12+Datos!AI12))/(Datos!U12+Datos!AI12))," - ")</f>
        <v>0.26332288401253917</v>
      </c>
      <c r="E12" s="515">
        <f>IF(ISNUMBER(
   IF(J_V="SI",(Datos!L12-Datos!V12)/Datos!V12,(Datos!L12+Datos!AB12-(Datos!V12+Datos!AJ12))/(Datos!V12+Datos!AJ12))
     ),IF(J_V="SI",(Datos!L12-Datos!V12)/Datos!V12,(Datos!L12+Datos!AB12-(Datos!V12+Datos!AJ12))/(Datos!V12+Datos!AJ12))," - ")</f>
        <v>-0.16554054054054054</v>
      </c>
      <c r="F12" s="515">
        <f>IF(ISNUMBER((Datos!M12-Datos!W12)/Datos!W12),(Datos!M12-Datos!W12)/Datos!W12," - ")</f>
        <v>-6.5217391304347824E-2</v>
      </c>
      <c r="G12" s="516">
        <f>IF(ISNUMBER((Datos!N12-Datos!X12)/Datos!X12),(Datos!N12-Datos!X12)/Datos!X12," - ")</f>
        <v>8.247422680412371E-2</v>
      </c>
      <c r="H12" s="514">
        <f>IF(ISNUMBER(((NºAsuntos!G12/NºAsuntos!E12)-Datos!BD12)/Datos!BD12),((NºAsuntos!G12/NºAsuntos!E12)-Datos!BD12)/Datos!BD12," - ")</f>
        <v>0.27665610706280336</v>
      </c>
      <c r="I12" s="515">
        <f>IF(ISNUMBER(((NºAsuntos!I12/NºAsuntos!G12)-Datos!BE12)/Datos!BE12),((NºAsuntos!I12/NºAsuntos!G12)-Datos!BE12)/Datos!BE12," - ")</f>
        <v>-0.3394725370531822</v>
      </c>
      <c r="J12" s="521">
        <f>IF(ISNUMBER((('Resol  Asuntos'!D12/NºAsuntos!G12)-Datos!BF12)/Datos!BF12),(('Resol  Asuntos'!D12/NºAsuntos!G12)-Datos!BF12)/Datos!BF12," - ")</f>
        <v>-0.29820163208922768</v>
      </c>
      <c r="K12" s="522">
        <f>IF(ISNUMBER((((NºAsuntos!C12+NºAsuntos!E12)/NºAsuntos!G12)-Datos!BG12)/Datos!BG12),(((NºAsuntos!C12+NºAsuntos!E12)/NºAsuntos!G12)-Datos!BG12)/Datos!BG12," - ")</f>
        <v>-0.24253887064908794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-5.4021608643457383E-2</v>
      </c>
      <c r="C14" s="1152">
        <f>IF(ISNUMBER(
   IF(J_V="SI",(Datos!J14-Datos!T14)/Datos!T14,(Datos!J14+Datos!Z14-(Datos!T14+Datos!AH14))/(Datos!T14+Datos!AH14))
     ),IF(J_V="SI",(Datos!J14-Datos!T14)/Datos!T14,(Datos!J14+Datos!Z14-(Datos!T14+Datos!AH14))/(Datos!T14+Datos!AH14))," - ")</f>
        <v>5.1282051282051282E-3</v>
      </c>
      <c r="D14" s="1152">
        <f>IF(ISNUMBER(
   IF(J_V="SI",(Datos!K14-Datos!U14)/Datos!U14,(Datos!K14+Datos!AA14-(Datos!U14+Datos!AI14))/(Datos!U14+Datos!AI14))
     ),IF(J_V="SI",(Datos!K14-Datos!U14)/Datos!U14,(Datos!K14+Datos!AA14-(Datos!U14+Datos!AI14))/(Datos!U14+Datos!AI14))," - ")</f>
        <v>0.24159021406727829</v>
      </c>
      <c r="E14" s="1152">
        <f>IF(ISNUMBER(
   IF(J_V="SI",(Datos!L14-Datos!V14)/Datos!V14,(Datos!L14+Datos!AB14-(Datos!V14+Datos!AJ14))/(Datos!V14+Datos!AJ14))
     ),IF(J_V="SI",(Datos!L14-Datos!V14)/Datos!V14,(Datos!L14+Datos!AB14-(Datos!V14+Datos!AJ14))/(Datos!V14+Datos!AJ14))," - ")</f>
        <v>-0.1484375</v>
      </c>
      <c r="F14" s="1153">
        <f>IF(ISNUMBER((Datos!M14-Datos!W14)/Datos!W14),(Datos!M14-Datos!W14)/Datos!W14," - ")</f>
        <v>-8.3333333333333329E-2</v>
      </c>
      <c r="G14" s="1154">
        <f>IF(ISNUMBER((Datos!N14-Datos!X14)/Datos!X14),(Datos!N14-Datos!X14)/Datos!X14," - ")</f>
        <v>0.06</v>
      </c>
      <c r="H14" s="1154">
        <f>IF(ISNUMBER(((NºAsuntos!G14/NºAsuntos!E14)-Datos!BD14)/Datos!BD14),((NºAsuntos!G14/NºAsuntos!E14)-Datos!BD14)/Datos!BD14," - ")</f>
        <v>0.23525557011795553</v>
      </c>
      <c r="I14" s="1154">
        <f>IF(ISNUMBER(((NºAsuntos!I14/NºAsuntos!G14)-Datos!BE14)/Datos!BE14),((NºAsuntos!I14/NºAsuntos!G14)-Datos!BE14)/Datos!BE14," - ")</f>
        <v>-0.31413562192118222</v>
      </c>
      <c r="J14" s="1154">
        <f>IF(ISNUMBER((('Resol  Asuntos'!D14/NºAsuntos!G14)-Datos!BF14)/Datos!BF14),(('Resol  Asuntos'!D14/NºAsuntos!G14)-Datos!BF14)/Datos!BF14," - ")</f>
        <v>-0.29824903672633268</v>
      </c>
      <c r="K14" s="1154">
        <f>IF(ISNUMBER((((NºAsuntos!C14+NºAsuntos!E14)/NºAsuntos!G14)-Datos!BG14)/Datos!BG14),(((NºAsuntos!C14+NºAsuntos!E14)/NºAsuntos!G14)-Datos!BG14)/Datos!BG14," - ")</f>
        <v>-0.22289935513495446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-0.14142857142857143</v>
      </c>
      <c r="C17" s="515">
        <f>IF(ISNUMBER(
   IF(D_I="SI",(Datos!J17-Datos!T17)/Datos!T17,(Datos!J17+Datos!AD17-(Datos!T17+Datos!AL17))/(Datos!T17+Datos!AL17))
     ),IF(D_I="SI",(Datos!J17-Datos!T17)/Datos!T17,(Datos!J17+Datos!AD17-(Datos!T17+Datos!AL17))/(Datos!T17+Datos!AL17))," - ")</f>
        <v>0.18151815181518152</v>
      </c>
      <c r="D17" s="515">
        <f>IF(ISNUMBER(
   IF(D_I="SI",(Datos!K17-Datos!U17)/Datos!U17,(Datos!K17+Datos!AE17-(Datos!U17+Datos!AM17))/(Datos!U17+Datos!AM17))
     ),IF(D_I="SI",(Datos!K17-Datos!U17)/Datos!U17,(Datos!K17+Datos!AE17-(Datos!U17+Datos!AM17))/(Datos!U17+Datos!AM17))," - ")</f>
        <v>0.4330357142857143</v>
      </c>
      <c r="E17" s="515">
        <f>IF(ISNUMBER(
   IF(D_I="SI",(Datos!L17-Datos!V17)/Datos!V17,(Datos!L17+Datos!AF17-(Datos!V17+Datos!AN17))/(Datos!V17+Datos!AN17))
     ),IF(D_I="SI",(Datos!L17-Datos!V17)/Datos!V17,(Datos!L17+Datos!AF17-(Datos!V17+Datos!AN17))/(Datos!V17+Datos!AN17))," - ")</f>
        <v>-0.17715019255455713</v>
      </c>
      <c r="F17" s="515">
        <f>IF(ISNUMBER((Datos!M17-Datos!W17)/Datos!W17),(Datos!M17-Datos!W17)/Datos!W17," - ")</f>
        <v>0.26415094339622641</v>
      </c>
      <c r="G17" s="516">
        <f>IF(ISNUMBER((Datos!N17-Datos!X17)/Datos!X17),(Datos!N17-Datos!X17)/Datos!X17," - ")</f>
        <v>0.72043010752688175</v>
      </c>
      <c r="H17" s="514">
        <f>IF(ISNUMBER(((NºAsuntos!G17/NºAsuntos!E17)-Datos!BD17)/Datos!BD17),((NºAsuntos!G17/NºAsuntos!E17)-Datos!BD17)/Datos!BD17," - ")</f>
        <v>0.21287659616919397</v>
      </c>
      <c r="I17" s="515">
        <f>IF(ISNUMBER(((NºAsuntos!I17/NºAsuntos!G17)-Datos!BE17)/Datos!BE17),((NºAsuntos!I17/NºAsuntos!G17)-Datos!BE17)/Datos!BE17," - ")</f>
        <v>-0.42579951131532956</v>
      </c>
      <c r="J17" s="521">
        <f>IF(ISNUMBER((('Resol  Asuntos'!D17/NºAsuntos!G17)-Datos!BF17)/Datos!BF17),(('Resol  Asuntos'!D17/NºAsuntos!G17)-Datos!BF17)/Datos!BF17," - ")</f>
        <v>-0.11785105507553047</v>
      </c>
      <c r="K17" s="522">
        <f>IF(ISNUMBER((((NºAsuntos!C17+NºAsuntos!E17)/NºAsuntos!G17)-Datos!BG17)/Datos!BG17),(((NºAsuntos!C17+NºAsuntos!E17)/NºAsuntos!G17)-Datos!BG17)/Datos!BG17," - ")</f>
        <v>-0.3327928985628783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1.25</v>
      </c>
      <c r="C18" s="515">
        <f>IF(ISNUMBER(
   IF(D_I="SI",(Datos!J18-Datos!T18)/Datos!T18,(Datos!J18+Datos!AD18-(Datos!T18+Datos!AL18))/(Datos!T18+Datos!AL18))
     ),IF(D_I="SI",(Datos!J18-Datos!T18)/Datos!T18,(Datos!J18+Datos!AD18-(Datos!T18+Datos!AL18))/(Datos!T18+Datos!AL18))," - ")</f>
        <v>-0.54838709677419351</v>
      </c>
      <c r="D18" s="515">
        <f>IF(ISNUMBER(
   IF(D_I="SI",(Datos!K18-Datos!U18)/Datos!U18,(Datos!K18+Datos!AE18-(Datos!U18+Datos!AM18))/(Datos!U18+Datos!AM18))
     ),IF(D_I="SI",(Datos!K18-Datos!U18)/Datos!U18,(Datos!K18+Datos!AE18-(Datos!U18+Datos!AM18))/(Datos!U18+Datos!AM18))," - ")</f>
        <v>-0.32432432432432434</v>
      </c>
      <c r="E18" s="515">
        <f>IF(ISNUMBER(
   IF(D_I="SI",(Datos!L18-Datos!V18)/Datos!V18,(Datos!L18+Datos!AF18-(Datos!V18+Datos!AN18))/(Datos!V18+Datos!AN18))
     ),IF(D_I="SI",(Datos!L18-Datos!V18)/Datos!V18,(Datos!L18+Datos!AF18-(Datos!V18+Datos!AN18))/(Datos!V18+Datos!AN18))," - ")</f>
        <v>1.4285714285714286</v>
      </c>
      <c r="F18" s="515">
        <f>IF(ISNUMBER((Datos!M18-Datos!W18)/Datos!W18),(Datos!M18-Datos!W18)/Datos!W18," - ")</f>
        <v>-0.5</v>
      </c>
      <c r="G18" s="516">
        <f>IF(ISNUMBER((Datos!N18-Datos!X18)/Datos!X18),(Datos!N18-Datos!X18)/Datos!X18," - ")</f>
        <v>-0.13333333333333333</v>
      </c>
      <c r="H18" s="514">
        <f>IF(ISNUMBER(((NºAsuntos!G18/NºAsuntos!E18)-Datos!BD18)/Datos!BD18),((NºAsuntos!G18/NºAsuntos!E18)-Datos!BD18)/Datos!BD18," - ")</f>
        <v>0.49613899613899615</v>
      </c>
      <c r="I18" s="515">
        <f>IF(ISNUMBER(((NºAsuntos!I18/NºAsuntos!G18)-Datos!BE18)/Datos!BE18),((NºAsuntos!I18/NºAsuntos!G18)-Datos!BE18)/Datos!BE18," - ")</f>
        <v>2.5942857142857143</v>
      </c>
      <c r="J18" s="521">
        <f>IF(ISNUMBER((('Resol  Asuntos'!D18/NºAsuntos!G18)-Datos!BF18)/Datos!BF18),(('Resol  Asuntos'!D18/NºAsuntos!G18)-Datos!BF18)/Datos!BF18," - ")</f>
        <v>-0.26</v>
      </c>
      <c r="K18" s="522">
        <f>IF(ISNUMBER((((NºAsuntos!C18+NºAsuntos!E18)/NºAsuntos!G18)-Datos!BG18)/Datos!BG18),(((NºAsuntos!C18+NºAsuntos!E18)/NºAsuntos!G18)-Datos!BG18)/Datos!BG18," - ")</f>
        <v>0.71215686274509804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-0.10277777777777777</v>
      </c>
      <c r="C23" s="1152">
        <f>IF(ISNUMBER(
   IF(Criterios!B14="SI",(Datos!J23-Datos!T23)/Datos!T23,(Datos!J23+Datos!AD23-(Datos!T23+Datos!AL23))/(Datos!T23+Datos!AL23))
     ),IF(Criterios!B14="SI",(Datos!J23-Datos!T23)/Datos!T23,(Datos!J23+Datos!AD23-(Datos!T23+Datos!AL23))/(Datos!T23+Datos!AL23))," - ")</f>
        <v>0.11377245508982035</v>
      </c>
      <c r="D23" s="1152">
        <f>IF(ISNUMBER(
   IF(Criterios!B14="SI",(Datos!K23-Datos!U23)/Datos!U23,(Datos!K23+Datos!AE23-(Datos!U23+Datos!AM23))/(Datos!U23+Datos!AM23))
     ),IF(Criterios!B14="SI",(Datos!K23-Datos!U23)/Datos!U23,(Datos!K23+Datos!AE23-(Datos!U23+Datos!AM23))/(Datos!U23+Datos!AM23))," - ")</f>
        <v>0.32567049808429116</v>
      </c>
      <c r="E23" s="1152">
        <f>IF(ISNUMBER(
   IF(Criterios!B14="SI",(Datos!L23-Datos!V23)/Datos!V23,(Datos!L23+Datos!AF23-(Datos!V23+Datos!AN23))/(Datos!V23+Datos!AN23))
     ),IF(Criterios!B14="SI",(Datos!L23-Datos!V23)/Datos!V23,(Datos!L23+Datos!AF23-(Datos!V23+Datos!AN23))/(Datos!V23+Datos!AN23))," - ")</f>
        <v>-0.14880201765447668</v>
      </c>
      <c r="F23" s="1153">
        <f>IF(ISNUMBER((Datos!M23-Datos!W23)/Datos!W23),(Datos!M23-Datos!W23)/Datos!W23," - ")</f>
        <v>0.21052631578947367</v>
      </c>
      <c r="G23" s="1154">
        <f>IF(ISNUMBER((Datos!N23-Datos!X23)/Datos!X23),(Datos!N23-Datos!X23)/Datos!X23," - ")</f>
        <v>0.60185185185185186</v>
      </c>
      <c r="H23" s="1154">
        <f>IF(ISNUMBER(((NºAsuntos!G23/NºAsuntos!E23)-Datos!BD23)/Datos!BD23),((NºAsuntos!G23/NºAsuntos!E23)-Datos!BD23)/Datos!BD23," - ")</f>
        <v>0.19025254397890654</v>
      </c>
      <c r="I23" s="1154">
        <f>IF(ISNUMBER(((NºAsuntos!I23/NºAsuntos!G23)-Datos!BE23)/Datos!BE23),((NºAsuntos!I23/NºAsuntos!G23)-Datos!BE23)/Datos!BE23," - ")</f>
        <v>-0.35791134857750978</v>
      </c>
      <c r="J23" s="1154">
        <f>IF(ISNUMBER((('Resol  Asuntos'!D23/NºAsuntos!G23)-Datos!BF23)/Datos!BF23),(('Resol  Asuntos'!D23/NºAsuntos!G23)-Datos!BF23)/Datos!BF23," - ")</f>
        <v>-8.6857316702160015E-2</v>
      </c>
      <c r="K23" s="1154">
        <f>IF(ISNUMBER((((NºAsuntos!C23+NºAsuntos!E23)/NºAsuntos!G23)-Datos!BG23)/Datos!BG23),(((NºAsuntos!C23+NºAsuntos!E23)/NºAsuntos!G23)-Datos!BG23)/Datos!BG23," - ")</f>
        <v>-0.27142951157714634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-7.6625885383129422E-2</v>
      </c>
      <c r="C31" s="1092">
        <f>IF(ISNUMBER(
   IF(J_V="SI",(Datos!J31-Datos!T31)/Datos!T31,(Datos!J31+Datos!Z31-(Datos!T31+Datos!AH31))/(Datos!T31+Datos!AH31))
     ),IF(J_V="SI",(Datos!J31-Datos!T31)/Datos!T31,(Datos!J31+Datos!Z31-(Datos!T31+Datos!AH31))/(Datos!T31+Datos!AH31))," - ")</f>
        <v>5.5248618784530384E-2</v>
      </c>
      <c r="D31" s="1092">
        <f>IF(ISNUMBER(
   IF(J_V="SI",(Datos!K31-Datos!U31)/Datos!U31,(Datos!K31+Datos!AA31-(Datos!U31+Datos!AI31))/(Datos!U31+Datos!AI31))
     ),IF(J_V="SI",(Datos!K31-Datos!U31)/Datos!U31,(Datos!K31+Datos!AA31-(Datos!U31+Datos!AI31))/(Datos!U31+Datos!AI31))," - ")</f>
        <v>0.27891156462585032</v>
      </c>
      <c r="E31" s="1092">
        <f>IF(ISNUMBER(
   IF(J_V="SI",(Datos!L31-Datos!V31)/Datos!V31,(Datos!L31+Datos!AB31-(Datos!V31+Datos!AJ31))/(Datos!V31+Datos!AJ31))
     ),IF(J_V="SI",(Datos!L31-Datos!V31)/Datos!V31,(Datos!L31+Datos!AB31-(Datos!V31+Datos!AJ31))/(Datos!V31+Datos!AJ31))," - ")</f>
        <v>-0.14860864416814684</v>
      </c>
      <c r="F31" s="1093">
        <f>IF(ISNUMBER((Datos!M31-Datos!W31)/Datos!W31),(Datos!M31-Datos!W31)/Datos!W31," - ")</f>
        <v>2.6143790849673203E-2</v>
      </c>
      <c r="G31" s="1094">
        <f>IF(ISNUMBER((Datos!N31-Datos!X31)/Datos!X31),(Datos!N31-Datos!X31)/Datos!X31," - ")</f>
        <v>0.34134615384615385</v>
      </c>
      <c r="H31" s="1095">
        <f>IF(ISNUMBER((Tasas!B31-Datos!BD31)/Datos!BD31),(Tasas!B31-Datos!BD31)/Datos!BD31," - ")</f>
        <v>0.21195284396481104</v>
      </c>
      <c r="I31" s="1096">
        <f>IF(ISNUMBER((Tasas!C31-Datos!BE31)/Datos!BE31),(Tasas!C31-Datos!BE31)/Datos!BE31," - ")</f>
        <v>-0.33428441857828506</v>
      </c>
      <c r="J31" s="1097">
        <f>IF(ISNUMBER((Tasas!D31-Datos!BF31)/Datos!BF31),(Tasas!D31-Datos!BF31)/Datos!BF31," - ")</f>
        <v>-0.22303393482359282</v>
      </c>
      <c r="K31" s="1097">
        <f>IF(ISNUMBER((Tasas!E31-Datos!BG31)/Datos!BG31),(Tasas!E31-Datos!BG31)/Datos!BG31," - ")</f>
        <v>-0.24521346676758329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tijbDgWekRKjwTYpcByOrtJgkz1QcsJmIpeRJse33819TeY3olZnJL/KOiulXgCoVEPiE3ZZmsH9mcUFaCPtQ==" saltValue="HLR5KC0tXEBbASmaGRzf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IBI</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0.23076923076923078</v>
      </c>
      <c r="C10" s="498">
        <f>IF(ISNUMBER(NºAsuntos!I10/NºAsuntos!G10),NºAsuntos!I10/NºAsuntos!G10," - ")</f>
        <v>7.333333333333333</v>
      </c>
      <c r="D10" s="499">
        <f>IF(ISNUMBER('Resol  Asuntos'!D10/NºAsuntos!G10),'Resol  Asuntos'!D10/NºAsuntos!G10," - ")</f>
        <v>0.66666666666666663</v>
      </c>
      <c r="E10" s="500">
        <f>IF(ISNUMBER((NºAsuntos!C10+NºAsuntos!E10)/NºAsuntos!G10),(NºAsuntos!C10+NºAsuntos!E10)/NºAsuntos!G10," - ")</f>
        <v>8.3333333333333339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1.0633245382585752</v>
      </c>
      <c r="C12" s="498">
        <f>IF(ISNUMBER(NºAsuntos!I12/NºAsuntos!G12),NºAsuntos!I12/NºAsuntos!G12," - ")</f>
        <v>1.8387096774193548</v>
      </c>
      <c r="D12" s="499">
        <f>IF(ISNUMBER('Resol  Asuntos'!D12/NºAsuntos!G12),'Resol  Asuntos'!D12/NºAsuntos!G12," - ")</f>
        <v>0.21339950372208435</v>
      </c>
      <c r="E12" s="500">
        <f>IF(ISNUMBER((NºAsuntos!C12+NºAsuntos!E12)/NºAsuntos!G12),(NºAsuntos!C12+NºAsuntos!E12)/NºAsuntos!G12," - ")</f>
        <v>2.8660049627791562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1.0357142857142858</v>
      </c>
      <c r="C14" s="1156">
        <f>IF(ISNUMBER(NºAsuntos!I14/NºAsuntos!G14),NºAsuntos!I14/NºAsuntos!G14," - ")</f>
        <v>1.8793103448275863</v>
      </c>
      <c r="D14" s="1157">
        <f>IF(ISNUMBER('Resol  Asuntos'!D14/NºAsuntos!G14),'Resol  Asuntos'!D14/NºAsuntos!G14," - ")</f>
        <v>0.21674876847290642</v>
      </c>
      <c r="E14" s="1158">
        <f>IF(ISNUMBER((NºAsuntos!C14+NºAsuntos!E14)/NºAsuntos!G14),(NºAsuntos!C14+NºAsuntos!E14)/NºAsuntos!G14," - ")</f>
        <v>2.9064039408866993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0.8966480446927374</v>
      </c>
      <c r="C17" s="498">
        <f>IF(ISNUMBER(NºAsuntos!I17/NºAsuntos!G17),NºAsuntos!I17/NºAsuntos!G17," - ")</f>
        <v>1.9968847352024923</v>
      </c>
      <c r="D17" s="499">
        <f>IF(ISNUMBER('Resol  Asuntos'!D17/NºAsuntos!G17),'Resol  Asuntos'!D17/NºAsuntos!G17," - ")</f>
        <v>0.2087227414330218</v>
      </c>
      <c r="E17" s="500">
        <f>IF(ISNUMBER((NºAsuntos!C17+NºAsuntos!E17)/NºAsuntos!G17),(NºAsuntos!C17+NºAsuntos!E17)/NºAsuntos!G17," - ")</f>
        <v>2.9875389408099688</v>
      </c>
      <c r="G17" s="523"/>
    </row>
    <row r="18" spans="1:7">
      <c r="A18" s="450" t="str">
        <f>Datos!A18</f>
        <v>Jdos. Violencia contra la mujer</v>
      </c>
      <c r="B18" s="497">
        <f>IF(ISNUMBER(NºAsuntos!G18/NºAsuntos!E18),NºAsuntos!G18/NºAsuntos!E18," - ")</f>
        <v>1.7857142857142858</v>
      </c>
      <c r="C18" s="498">
        <f>IF(ISNUMBER(NºAsuntos!I18/NºAsuntos!G18),NºAsuntos!I18/NºAsuntos!G18," - ")</f>
        <v>1.36</v>
      </c>
      <c r="D18" s="499">
        <f>IF(ISNUMBER('Resol  Asuntos'!D18/NºAsuntos!G18),'Resol  Asuntos'!D18/NºAsuntos!G18," - ")</f>
        <v>0.08</v>
      </c>
      <c r="E18" s="500">
        <f>IF(ISNUMBER((NºAsuntos!C18+NºAsuntos!E18)/NºAsuntos!G18),(NºAsuntos!C18+NºAsuntos!E18)/NºAsuntos!G18," - ")</f>
        <v>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0.93010752688172038</v>
      </c>
      <c r="C23" s="1156">
        <f>IF(ISNUMBER(NºAsuntos!I23/NºAsuntos!G23),NºAsuntos!I23/NºAsuntos!G23," - ")</f>
        <v>1.9508670520231215</v>
      </c>
      <c r="D23" s="1159">
        <f>IF(ISNUMBER('Resol  Asuntos'!D23/NºAsuntos!G23),'Resol  Asuntos'!D23/NºAsuntos!G23," - ")</f>
        <v>0.19942196531791909</v>
      </c>
      <c r="E23" s="1158">
        <f>IF(ISNUMBER((NºAsuntos!C23+NºAsuntos!E23)/NºAsuntos!G23),(NºAsuntos!C23+NºAsuntos!E23)/NºAsuntos!G23," - ")</f>
        <v>2.9421965317919074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0.98429319371727753</v>
      </c>
      <c r="C31" s="1099">
        <f>IF(ISNUMBER(NºAsuntos!I31/NºAsuntos!G31),NºAsuntos!I31/NºAsuntos!G31," - ")</f>
        <v>1.9122340425531914</v>
      </c>
      <c r="D31" s="1100">
        <f>IF(ISNUMBER('Resol  Asuntos'!D31/NºAsuntos!G31),'Resol  Asuntos'!D31/NºAsuntos!G31," - ")</f>
        <v>0.20877659574468085</v>
      </c>
      <c r="E31" s="1101">
        <f>IF(ISNUMBER((NºAsuntos!C31+NºAsuntos!E31)/NºAsuntos!G31),(NºAsuntos!C31+NºAsuntos!E31)/NºAsuntos!G31," - ")</f>
        <v>2.9228723404255321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k+ey3KzRsf9KPG5h27OwCBEGRKWX2jBVSdPDCdw3J6TU+TP+S1DFTxk61Qe1szy1l8poCcbORI9YQWX6FaoWA==" saltValue="JFW3j8y9EYhXc8I4C7k8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IBI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22</v>
      </c>
      <c r="AB10" s="374">
        <f>IF(ISNUMBER(Datos!R10),Datos!R10," - ")</f>
        <v>12</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0.23076923076923078</v>
      </c>
      <c r="AM10" s="284">
        <f>IF(ISNUMBER(((NºAsuntos!I10/NºAsuntos!G10)*11)/factor_trimestre),((NºAsuntos!I10/NºAsuntos!G10)*11)/factor_trimestre," - ")</f>
        <v>22</v>
      </c>
      <c r="AN10" s="267">
        <f>IF(ISNUMBER('Resol  Asuntos'!D10/NºAsuntos!G10),'Resol  Asuntos'!D10/NºAsuntos!G10," - ")</f>
        <v>0.66666666666666663</v>
      </c>
      <c r="AO10" s="268">
        <f>IF(ISNUMBER((NºAsuntos!C10+NºAsuntos!E10)/NºAsuntos!G10),(NºAsuntos!C10+NºAsuntos!E10)/NºAsuntos!G10," - ")</f>
        <v>8.3333333333333339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v>
      </c>
      <c r="Y12" s="374">
        <f t="shared" si="0"/>
        <v>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1.0633245382585752</v>
      </c>
      <c r="AM12" s="284">
        <f>IF(ISNUMBER(((NºAsuntos!I12/NºAsuntos!G12)*11)/factor_trimestre),((NºAsuntos!I12/NºAsuntos!G12)*11)/factor_trimestre," - ")</f>
        <v>5.5161290322580649</v>
      </c>
      <c r="AN12" s="267">
        <f>IF(ISNUMBER('Resol  Asuntos'!D12/NºAsuntos!G12),'Resol  Asuntos'!D12/NºAsuntos!G12," - ")</f>
        <v>0.21339950372208435</v>
      </c>
      <c r="AO12" s="268">
        <f>IF(ISNUMBER((NºAsuntos!C12+NºAsuntos!E12)/NºAsuntos!G12),(NºAsuntos!C12+NºAsuntos!E12)/NºAsuntos!G12," - ")</f>
        <v>2.8660049627791562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61</v>
      </c>
      <c r="Y14" s="1165">
        <f t="shared" si="6"/>
        <v>64</v>
      </c>
      <c r="Z14" s="1165">
        <f t="shared" si="6"/>
        <v>0</v>
      </c>
      <c r="AA14" s="1165">
        <f t="shared" si="6"/>
        <v>22</v>
      </c>
      <c r="AB14" s="1165">
        <f t="shared" si="6"/>
        <v>2536</v>
      </c>
      <c r="AC14" s="1165">
        <f t="shared" si="6"/>
        <v>34</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1.0357142857142858</v>
      </c>
      <c r="AM14" s="1171">
        <f>IF(ISNUMBER(((NºAsuntos!I14/NºAsuntos!G14)*11)/factor_trimestre),((NºAsuntos!I14/NºAsuntos!G14)*11)/factor_trimestre," - ")</f>
        <v>5.6379310344827589</v>
      </c>
      <c r="AN14" s="1172">
        <f>IF(ISNUMBER('Resol  Asuntos'!D14/NºAsuntos!G14),'Resol  Asuntos'!D14/NºAsuntos!G14," - ")</f>
        <v>0.21674876847290642</v>
      </c>
      <c r="AO14" s="1173">
        <f>IF(ISNUMBER((NºAsuntos!C14+NºAsuntos!E14)/NºAsuntos!G14),(NºAsuntos!C14+NºAsuntos!E14)/NºAsuntos!G14," - ")</f>
        <v>2.9064039408866993</v>
      </c>
      <c r="AP14" s="1174" t="str">
        <f t="shared" si="2"/>
        <v xml:space="preserve"> - </v>
      </c>
      <c r="AQ14" s="1174">
        <f>IF(ISNUMBER((H14-W14+K14)/(F14)),(H14-W14+K14)/(F14)," - ")</f>
        <v>-0.25</v>
      </c>
      <c r="AR14" s="1175">
        <f>IF(ISNUMBER((Datos!P14-Datos!Q14)/(Datos!R14-Datos!P14+Datos!Q14)),(Datos!P14-Datos!Q14)/(Datos!R14-Datos!P14+Datos!Q14)," - ")</f>
        <v>1.0761259465922678E-2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604</v>
      </c>
      <c r="G17" s="373">
        <f>IF(ISNUMBER(IF(D_I="SI",Datos!I17,Datos!I17+Datos!AC17)),IF(D_I="SI",Datos!I17,Datos!I17+Datos!AC17)," - ")</f>
        <v>601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321</v>
      </c>
      <c r="X17" s="240">
        <f>IF(ISNUMBER(Datos!Q17),Datos!Q17," - ")</f>
        <v>4</v>
      </c>
      <c r="Y17" s="374">
        <f t="shared" ref="Y17:Y22" si="9">SUM(W17:X17)</f>
        <v>325</v>
      </c>
      <c r="Z17" s="375" t="str">
        <f>IF(ISNUMBER(Datos!CC17),Datos!CC17," - ")</f>
        <v xml:space="preserve"> - </v>
      </c>
      <c r="AA17" s="372">
        <f>IF(ISNUMBER(IF(D_I="SI",Datos!L17,Datos!L17+Datos!AF17)),IF(D_I="SI",Datos!L17,Datos!L17+Datos!AF17)," - ")</f>
        <v>641</v>
      </c>
      <c r="AB17" s="374">
        <f>IF(ISNUMBER(Datos!R17),Datos!R17," - ")</f>
        <v>113</v>
      </c>
      <c r="AC17" s="374">
        <f t="shared" si="8"/>
        <v>754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0.8966480446927374</v>
      </c>
      <c r="AM17" s="284">
        <f>IF(ISNUMBER(((NºAsuntos!I17/NºAsuntos!G17)*11)/factor_trimestre),((NºAsuntos!I17/NºAsuntos!G17)*11)/factor_trimestre," - ")</f>
        <v>5.990654205607477</v>
      </c>
      <c r="AN17" s="267">
        <f>IF(ISNUMBER('Resol  Asuntos'!D17/NºAsuntos!G17),'Resol  Asuntos'!D17/NºAsuntos!G17," - ")</f>
        <v>0.2087227414330218</v>
      </c>
      <c r="AO17" s="268">
        <f>IF(ISNUMBER((NºAsuntos!C17+NºAsuntos!E17)/NºAsuntos!G17),(NºAsuntos!C17+NºAsuntos!E17)/NºAsuntos!G17," - ")</f>
        <v>2.9875389408099688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1.7857142857142858</v>
      </c>
      <c r="AM18" s="284">
        <f>IF(ISNUMBER(((NºAsuntos!I18/NºAsuntos!G18)*11)/factor_trimestre),((NºAsuntos!I18/NºAsuntos!G18)*11)/factor_trimestre," - ")</f>
        <v>4.08</v>
      </c>
      <c r="AN18" s="267">
        <f>IF(ISNUMBER('Resol  Asuntos'!D18/NºAsuntos!G18),'Resol  Asuntos'!D18/NºAsuntos!G18," - ")</f>
        <v>0.08</v>
      </c>
      <c r="AO18" s="268">
        <f>IF(ISNUMBER((NºAsuntos!C18+NºAsuntos!E18)/NºAsuntos!G18),(NºAsuntos!C18+NºAsuntos!E18)/NºAsuntos!G18," - ")</f>
        <v>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604</v>
      </c>
      <c r="G23" s="1163">
        <f>SUBTOTAL(9,G16:G22)</f>
        <v>646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346</v>
      </c>
      <c r="X23" s="1164">
        <f t="shared" si="14"/>
        <v>4</v>
      </c>
      <c r="Y23" s="1165">
        <f t="shared" si="14"/>
        <v>350</v>
      </c>
      <c r="Z23" s="1165">
        <f t="shared" si="14"/>
        <v>0</v>
      </c>
      <c r="AA23" s="1165">
        <f t="shared" si="14"/>
        <v>675</v>
      </c>
      <c r="AB23" s="1165">
        <f t="shared" si="14"/>
        <v>113</v>
      </c>
      <c r="AC23" s="1165">
        <f t="shared" si="14"/>
        <v>788</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0.93010752688172038</v>
      </c>
      <c r="AM23" s="1171">
        <f>IF(ISNUMBER(((NºAsuntos!I23/NºAsuntos!G23)*11)/factor_trimestre),((NºAsuntos!I23/NºAsuntos!G23)*11)/factor_trimestre," - ")</f>
        <v>5.8526011560693654</v>
      </c>
      <c r="AN23" s="1172">
        <f>IF(ISNUMBER('Resol  Asuntos'!D23/NºAsuntos!G23),'Resol  Asuntos'!D23/NºAsuntos!G23," - ")</f>
        <v>0.19942196531791909</v>
      </c>
      <c r="AO23" s="1173">
        <f>IF(ISNUMBER((NºAsuntos!C23+NºAsuntos!E23)/NºAsuntos!G23),(NºAsuntos!C23+NºAsuntos!E23)/NºAsuntos!G23," - ")</f>
        <v>2.9421965317919074</v>
      </c>
      <c r="AP23" s="1174" t="str">
        <f t="shared" si="2"/>
        <v xml:space="preserve"> - </v>
      </c>
      <c r="AQ23" s="1174">
        <f>IF(ISNUMBER((H23-W23+K23)/(F23)),(H23-W23+K23)/(F23)," - ")</f>
        <v>-0.57284768211920534</v>
      </c>
      <c r="AR23" s="1175">
        <f>IF(ISNUMBER((Datos!P23-Datos!Q23)/(Datos!R23-Datos!P23+Datos!Q23)),(Datos!P23-Datos!Q23)/(Datos!R23-Datos!P23+Datos!Q23)," - ")</f>
        <v>1.8018018018018018E-2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616</v>
      </c>
      <c r="G31" s="1118">
        <f t="shared" si="20"/>
        <v>658</v>
      </c>
      <c r="H31" s="1117">
        <f t="shared" si="20"/>
        <v>0</v>
      </c>
      <c r="I31" s="1119">
        <f t="shared" si="20"/>
        <v>0</v>
      </c>
      <c r="J31" s="1119">
        <f t="shared" si="20"/>
        <v>0</v>
      </c>
      <c r="K31" s="1180">
        <f t="shared" si="20"/>
        <v>0</v>
      </c>
      <c r="L31" s="1119">
        <f t="shared" si="20"/>
        <v>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349</v>
      </c>
      <c r="X31" s="1118">
        <f t="shared" si="21"/>
        <v>65</v>
      </c>
      <c r="Y31" s="1125">
        <f t="shared" si="21"/>
        <v>414</v>
      </c>
      <c r="Z31" s="1125">
        <f t="shared" si="21"/>
        <v>0</v>
      </c>
      <c r="AA31" s="1125">
        <f t="shared" si="21"/>
        <v>697</v>
      </c>
      <c r="AB31" s="1125">
        <f t="shared" si="21"/>
        <v>2649</v>
      </c>
      <c r="AC31" s="1125">
        <f t="shared" si="21"/>
        <v>822</v>
      </c>
      <c r="AD31" s="1125">
        <f t="shared" si="21"/>
        <v>0</v>
      </c>
      <c r="AE31" s="1127">
        <f t="shared" si="21"/>
        <v>0</v>
      </c>
      <c r="AF31" s="1128">
        <f t="shared" si="21"/>
        <v>0</v>
      </c>
      <c r="AG31" s="1129">
        <f t="shared" si="21"/>
        <v>0</v>
      </c>
      <c r="AH31" s="1127">
        <f t="shared" si="21"/>
        <v>0</v>
      </c>
      <c r="AI31" s="1117">
        <f t="shared" si="21"/>
        <v>157</v>
      </c>
      <c r="AJ31" s="1117">
        <f t="shared" si="21"/>
        <v>0</v>
      </c>
      <c r="AK31" s="1127">
        <f t="shared" si="21"/>
        <v>0</v>
      </c>
      <c r="AL31" s="1183">
        <f>IF(ISNUMBER(NºAsuntos!G31/NºAsuntos!E31),NºAsuntos!G31/NºAsuntos!E31," - ")</f>
        <v>0.98429319371727753</v>
      </c>
      <c r="AM31" s="1184">
        <f>IF(ISNUMBER(((NºAsuntos!I31/NºAsuntos!G31)*11)/factor_trimestre),((NºAsuntos!I31/NºAsuntos!G31)*11)/factor_trimestre," - ")</f>
        <v>5.7367021276595738</v>
      </c>
      <c r="AN31" s="1184">
        <f>IF(ISNUMBER('Resol  Asuntos'!D31/NºAsuntos!G31),'Resol  Asuntos'!D31/NºAsuntos!G31," - ")</f>
        <v>0.20877659574468085</v>
      </c>
      <c r="AO31" s="1185">
        <f>IF(ISNUMBER((NºAsuntos!C31+NºAsuntos!E31)/NºAsuntos!G31),(NºAsuntos!C31+NºAsuntos!E31)/NºAsuntos!G31," - ")</f>
        <v>2.9228723404255321</v>
      </c>
      <c r="AP31" s="1186" t="str">
        <f t="shared" si="2"/>
        <v xml:space="preserve"> - </v>
      </c>
      <c r="AQ31" s="1187">
        <f>IF(OR(ISNUMBER(FIND("01",Criterios!A8,1)),ISNUMBER(FIND("02",Criterios!A8,1)),ISNUMBER(FIND("03",Criterios!A8,1)),ISNUMBER(FIND("04",Criterios!A8,1))),(I31-W31+K31)/(F31-K31),(H31-W31+K31)/(F31-K31))</f>
        <v>-0.56655844155844159</v>
      </c>
      <c r="AR31" s="1188">
        <f>IF(ISNUMBER((Datos!P31-Datos!Q31)/(Datos!R31-Datos!P31+Datos!Q31)),(Datos!P31-Datos!Q31)/(Datos!R31-Datos!P31+Datos!Q31)," - ")</f>
        <v>1.1068702290076336E-2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308.85249985497393</v>
      </c>
      <c r="G33" s="277">
        <f>IF(ISNUMBER(STDEV(G8:G30)),STDEV(G8:G30),"-")</f>
        <v>298.16717905676114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160.10383535455387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41.530539537618751</v>
      </c>
      <c r="AJ33" s="276">
        <f t="shared" si="25"/>
        <v>0</v>
      </c>
      <c r="AK33" s="278">
        <f t="shared" si="25"/>
        <v>0</v>
      </c>
      <c r="AL33" s="273">
        <f t="shared" si="25"/>
        <v>0.49585475703027931</v>
      </c>
      <c r="AM33" s="274">
        <f t="shared" si="25"/>
        <v>6.8054499093480088</v>
      </c>
      <c r="AN33" s="274">
        <f t="shared" si="25"/>
        <v>0.20396827103268111</v>
      </c>
      <c r="AO33" s="275">
        <f t="shared" si="25"/>
        <v>2.2655780045303606</v>
      </c>
      <c r="AP33" s="317" t="str">
        <f t="shared" si="25"/>
        <v>-</v>
      </c>
      <c r="AQ33" s="318">
        <f t="shared" si="25"/>
        <v>0.22828778531684904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uXN2WVPg5cHQ9RfYa8TyipynbjDOSlJO7ODm6376SyYa/zkQUTxf7vKJW3HHSCk9H8BQp87CxCfZg8xPi1HYg==" saltValue="qkP8yYOjn0bIfMhhm/WB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IBI</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0.8571428571428571</v>
      </c>
      <c r="F10" s="393">
        <f>IF(ISNUMBER((Datos!K10-Datos!U10)/Datos!U10),(Datos!K10-Datos!U10)/Datos!U10," - ")</f>
        <v>-0.625</v>
      </c>
      <c r="G10" s="394">
        <f>IF(ISNUMBER((Datos!L10-Datos!V10)/Datos!V10),(Datos!L10-Datos!V10)/Datos!V10," - ")</f>
        <v>1.75</v>
      </c>
      <c r="H10" s="244">
        <f>IF(ISNUMBER((Datos!M10-Datos!W10)/Datos!W10),(Datos!M10-Datos!W10)/Datos!W10," - ")</f>
        <v>-0.5</v>
      </c>
      <c r="I10" s="395">
        <f>IF(ISNUMBER((Tasas!C10-Datos!BE10)/Datos!BE10),(Tasas!C10-Datos!BE10)/Datos!BE10," - ")</f>
        <v>6.333333333333333</v>
      </c>
      <c r="J10" s="394">
        <f>IF(ISNUMBER((Tasas!D10-Datos!BF10)/Datos!BF10),(Tasas!D10-Datos!BF10)/Datos!BF10," - ")</f>
        <v>0.33333333333333326</v>
      </c>
      <c r="K10" s="396">
        <f>IF(ISNUMBER((Tasas!E10-Datos!BG10)/Datos!BG10),(Tasas!E10-Datos!BG10)/Datos!BG10," - ")</f>
        <v>3.166666666666667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-6.5217391304347824E-2</v>
      </c>
      <c r="I12" s="395">
        <f>IF(ISNUMBER((Tasas!C12-Datos!BE12)/Datos!BE12),(Tasas!C12-Datos!BE12)/Datos!BE12," - ")</f>
        <v>-0.3394725370531822</v>
      </c>
      <c r="J12" s="394">
        <f>IF(ISNUMBER((Tasas!D12-Datos!BF12)/Datos!BF12),(Tasas!D12-Datos!BF12)/Datos!BF12," - ")</f>
        <v>-0.29820163208922768</v>
      </c>
      <c r="K12" s="396">
        <f>IF(ISNUMBER((Tasas!E12-Datos!BG12)/Datos!BG12),(Tasas!E12-Datos!BG12)/Datos!BG12," - ")</f>
        <v>-0.24253887064908794</v>
      </c>
      <c r="M12" t="e">
        <f>IF(Monitorios="SI",Datos!CE12,0)</f>
        <v>#REF!</v>
      </c>
      <c r="N12" t="e">
        <f>IF(Monitorios="SI",Datos!CF12,0)</f>
        <v>#REF!</v>
      </c>
      <c r="O12" t="e">
        <f>IF(Monitorios="SI",Datos!CG12,0)</f>
        <v>#REF!</v>
      </c>
      <c r="P12" t="e">
        <f>IF(Monitorios="SI",Datos!CH12,0)</f>
        <v>#REF!</v>
      </c>
      <c r="Q12">
        <f>IF(J_V="SI",0,Datos!AG12)</f>
        <v>39</v>
      </c>
      <c r="R12">
        <f>IF(J_V="SI",0,Datos!AH12)</f>
        <v>34</v>
      </c>
      <c r="S12">
        <f>IF(J_V="SI",0,Datos!AI12)</f>
        <v>39</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-8.3333333333333329E-2</v>
      </c>
      <c r="I14" s="402">
        <f>IF(ISNUMBER((Tasas!C14-Datos!BE14)/Datos!BE14),(Tasas!C14-Datos!BE14)/Datos!BE14," - ")</f>
        <v>-0.31413562192118222</v>
      </c>
      <c r="J14" s="400">
        <f>IF(ISNUMBER((Tasas!D14-Datos!BF14)/Datos!BF14),(Tasas!D14-Datos!BF14)/Datos!BF14," - ")</f>
        <v>-0.29824903672633268</v>
      </c>
      <c r="K14" s="403">
        <f>IF(ISNUMBER((Tasas!E14-Datos!BG14)/Datos!BG14),(Tasas!E14-Datos!BG14)/Datos!BG14," - ")</f>
        <v>-0.22289935513495446</v>
      </c>
      <c r="M14" t="e">
        <f>IF(Monitorios="SI",Datos!CE14,0)</f>
        <v>#REF!</v>
      </c>
      <c r="N14" t="e">
        <f>IF(Monitorios="SI",Datos!CF14,0)</f>
        <v>#REF!</v>
      </c>
      <c r="O14" t="e">
        <f>IF(Monitorios="SI",Datos!CG14,0)</f>
        <v>#REF!</v>
      </c>
      <c r="P14" t="e">
        <f>IF(Monitorios="SI",Datos!CH14,0)</f>
        <v>#REF!</v>
      </c>
      <c r="Q14">
        <f>IF(J_V="SI",0,Datos!AG14)</f>
        <v>39</v>
      </c>
      <c r="R14">
        <f>IF(J_V="SI",0,Datos!AH14)</f>
        <v>34</v>
      </c>
      <c r="S14">
        <f>IF(J_V="SI",0,Datos!AI14)</f>
        <v>39</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-0.14142857142857143</v>
      </c>
      <c r="E17" s="393">
        <f>IF(ISNUMBER(
   IF(D_I="SI",(Datos!J17-Datos!T17)/Datos!T17,(Datos!J17+Datos!AD17-(Datos!T17+Datos!AL17))/(Datos!T17+Datos!AL17))
     ),IF(D_I="SI",(Datos!J17-Datos!T17)/Datos!T17,(Datos!J17+Datos!AD17-(Datos!T17+Datos!AL17))/(Datos!T17+Datos!AL17))," - ")</f>
        <v>0.18151815181518152</v>
      </c>
      <c r="F17" s="393">
        <f>IF(ISNUMBER(
   IF(D_I="SI",(Datos!K17-Datos!U17)/Datos!U17,(Datos!K17+Datos!AE17-(Datos!U17+Datos!AM17))/(Datos!U17+Datos!AM17))
     ),IF(D_I="SI",(Datos!K17-Datos!U17)/Datos!U17,(Datos!K17+Datos!AE17-(Datos!U17+Datos!AM17))/(Datos!U17+Datos!AM17))," - ")</f>
        <v>0.4330357142857143</v>
      </c>
      <c r="G17" s="394">
        <f>IF(ISNUMBER(
   IF(D_I="SI",(Datos!L17-Datos!V17)/Datos!V17,(Datos!L17+Datos!AF17-(Datos!V17+Datos!AN17))/(Datos!V17+Datos!AN17))
     ),IF(D_I="SI",(Datos!L17-Datos!V17)/Datos!V17,(Datos!L17+Datos!AF17-(Datos!V17+Datos!AN17))/(Datos!V17+Datos!AN17))," - ")</f>
        <v>-0.17715019255455713</v>
      </c>
      <c r="H17" s="244">
        <f>IF(ISNUMBER((Datos!M17-Datos!W17)/Datos!W17),(Datos!M17-Datos!W17)/Datos!W17," - ")</f>
        <v>0.26415094339622641</v>
      </c>
      <c r="I17" s="395">
        <f>IF(ISNUMBER((Tasas!C17-Datos!BE17)/Datos!BE17),(Tasas!C17-Datos!BE17)/Datos!BE17," - ")</f>
        <v>-0.42579951131532956</v>
      </c>
      <c r="J17" s="394">
        <f>IF(ISNUMBER((Tasas!D17-Datos!BF17)/Datos!BF17),(Tasas!D17-Datos!BF17)/Datos!BF17," - ")</f>
        <v>-0.11785105507553047</v>
      </c>
      <c r="K17" s="396">
        <f>IF(ISNUMBER((Tasas!E17-Datos!BG17)/Datos!BG17),(Tasas!E17-Datos!BG17)/Datos!BG17," - ")</f>
        <v>-0.3327928985628783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1.25</v>
      </c>
      <c r="E18" s="393">
        <f>IF(ISNUMBER(
   IF(D_I="SI",(Datos!J18-Datos!T18)/Datos!T18,(Datos!J18+Datos!AD18-(Datos!T18+Datos!AL18))/(Datos!T18+Datos!AL18))
     ),IF(D_I="SI",(Datos!J18-Datos!T18)/Datos!T18,(Datos!J18+Datos!AD18-(Datos!T18+Datos!AL18))/(Datos!T18+Datos!AL18))," - ")</f>
        <v>-0.54838709677419351</v>
      </c>
      <c r="F18" s="393">
        <f>IF(ISNUMBER(
   IF(D_I="SI",(Datos!K18-Datos!U18)/Datos!U18,(Datos!K18+Datos!AE18-(Datos!U18+Datos!AM18))/(Datos!U18+Datos!AM18))
     ),IF(D_I="SI",(Datos!K18-Datos!U18)/Datos!U18,(Datos!K18+Datos!AE18-(Datos!U18+Datos!AM18))/(Datos!U18+Datos!AM18))," - ")</f>
        <v>-0.32432432432432434</v>
      </c>
      <c r="G18" s="394">
        <f>IF(ISNUMBER(
   IF(D_I="SI",(Datos!L18-Datos!V18)/Datos!V18,(Datos!L18+Datos!AF18-(Datos!V18+Datos!AN18))/(Datos!V18+Datos!AN18))
     ),IF(D_I="SI",(Datos!L18-Datos!V18)/Datos!V18,(Datos!L18+Datos!AF18-(Datos!V18+Datos!AN18))/(Datos!V18+Datos!AN18))," - ")</f>
        <v>1.4285714285714286</v>
      </c>
      <c r="H18" s="244">
        <f>IF(ISNUMBER((Datos!M18-Datos!W18)/Datos!W18),(Datos!M18-Datos!W18)/Datos!W18," - ")</f>
        <v>-0.5</v>
      </c>
      <c r="I18" s="395">
        <f>IF(ISNUMBER((Tasas!C18-Datos!BE18)/Datos!BE18),(Tasas!C18-Datos!BE18)/Datos!BE18," - ")</f>
        <v>2.5942857142857143</v>
      </c>
      <c r="J18" s="394">
        <f>IF(ISNUMBER((Tasas!D18-Datos!BF18)/Datos!BF18),(Tasas!D18-Datos!BF18)/Datos!BF18," - ")</f>
        <v>-0.26</v>
      </c>
      <c r="K18" s="396">
        <f>IF(ISNUMBER((Tasas!E18-Datos!BG18)/Datos!BG18),(Tasas!E18-Datos!BG18)/Datos!BG18," - ")</f>
        <v>0.71215686274509804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-0.10277777777777777</v>
      </c>
      <c r="E23" s="399">
        <f>IF(ISNUMBER(
   IF(D_I="SI",(Datos!J23-Datos!T23)/Datos!T23,(Datos!J23+Datos!AD23-(Datos!T23+Datos!AL23))/(Datos!T23+Datos!AL23))
     ),IF(D_I="SI",(Datos!J23-Datos!T23)/Datos!T23,(Datos!J23+Datos!AD23-(Datos!T23+Datos!AL23))/(Datos!T23+Datos!AL23))," - ")</f>
        <v>0.11377245508982035</v>
      </c>
      <c r="F23" s="399">
        <f>IF(ISNUMBER(
   IF(D_I="SI",(Datos!K23-Datos!U23)/Datos!U23,(Datos!K23+Datos!AE23-(Datos!U23+Datos!AM23))/(Datos!U23+Datos!AM23))
     ),IF(D_I="SI",(Datos!K23-Datos!U23)/Datos!U23,(Datos!K23+Datos!AE23-(Datos!U23+Datos!AM23))/(Datos!U23+Datos!AM23))," - ")</f>
        <v>0.32567049808429116</v>
      </c>
      <c r="G23" s="400">
        <f>IF(ISNUMBER(
   IF(D_I="SI",(Datos!L23-Datos!V23)/Datos!V23,(Datos!L23+Datos!AF23-(Datos!V23+Datos!AN23))/(Datos!V23+Datos!AN23))
     ),IF(D_I="SI",(Datos!L23-Datos!V23)/Datos!V23,(Datos!L23+Datos!AF23-(Datos!V23+Datos!AN23))/(Datos!V23+Datos!AN23))," - ")</f>
        <v>-0.14880201765447668</v>
      </c>
      <c r="H23" s="401">
        <f>IF(ISNUMBER((Datos!M23-Datos!W23)/Datos!W23),(Datos!M23-Datos!W23)/Datos!W23," - ")</f>
        <v>0.21052631578947367</v>
      </c>
      <c r="I23" s="402">
        <f>IF(ISNUMBER((Tasas!C23-Datos!BE23)/Datos!BE23),(Tasas!C23-Datos!BE23)/Datos!BE23," - ")</f>
        <v>-0.35791134857750978</v>
      </c>
      <c r="J23" s="400">
        <f>IF(ISNUMBER((Tasas!D23-Datos!BF23)/Datos!BF23),(Tasas!D23-Datos!BF23)/Datos!BF23," - ")</f>
        <v>-8.6857316702160015E-2</v>
      </c>
      <c r="K23" s="403">
        <f>IF(ISNUMBER((Tasas!E23-Datos!BG23)/Datos!BG23),(Tasas!E23-Datos!BG23)/Datos!BG23," - ")</f>
        <v>-0.27142951157714634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-7.6625885383129422E-2</v>
      </c>
      <c r="E31" s="409">
        <f>IF(ISNUMBER(
   IF(J_V="SI",(Datos!J31-Datos!T31)/Datos!T31,(Datos!J31+Datos!Z31-(Datos!T31+Datos!AH31))/(Datos!T31+Datos!AH31))
     ),IF(J_V="SI",(Datos!J31-Datos!T31)/Datos!T31,(Datos!J31+Datos!Z31-(Datos!T31+Datos!AH31))/(Datos!T31+Datos!AH31))," - ")</f>
        <v>5.5248618784530384E-2</v>
      </c>
      <c r="F31" s="409">
        <f>IF(ISNUMBER(
   IF(J_V="SI",(Datos!K31-Datos!U31)/Datos!U31,(Datos!K31+Datos!AA31-(Datos!U31+Datos!AI31))/(Datos!U31+Datos!AI31))
     ),IF(J_V="SI",(Datos!K31-Datos!U31)/Datos!U31,(Datos!K31+Datos!AA31-(Datos!U31+Datos!AI31))/(Datos!U31+Datos!AI31))," - ")</f>
        <v>0.27891156462585032</v>
      </c>
      <c r="G31" s="410">
        <f>IF(ISNUMBER(
   IF(J_V="SI",(Datos!L31-Datos!V31)/Datos!V31,(Datos!L31+Datos!AB31-(Datos!V31+Datos!AJ31))/(Datos!V31+Datos!AJ31))
     ),IF(J_V="SI",(Datos!L31-Datos!V31)/Datos!V31,(Datos!L31+Datos!AB31-(Datos!V31+Datos!AJ31))/(Datos!V31+Datos!AJ31))," - ")</f>
        <v>-0.14860864416814684</v>
      </c>
      <c r="H31" s="411">
        <f>IF(ISNUMBER((Datos!M31-Datos!W31)/Datos!W31),(Datos!M31-Datos!W31)/Datos!W31," - ")</f>
        <v>2.6143790849673203E-2</v>
      </c>
      <c r="I31" s="408">
        <f>IF(ISNUMBER((Tasas!C31-Datos!BE31)/Datos!BE31),(Tasas!C31-Datos!BE31)/Datos!BE31," - ")</f>
        <v>-0.33428441857828506</v>
      </c>
      <c r="J31" s="409">
        <f>IF(ISNUMBER((Tasas!D31-Datos!BF31)/Datos!BF31),(Tasas!D31-Datos!BF31)/Datos!BF31," - ")</f>
        <v>-0.22303393482359282</v>
      </c>
      <c r="K31" s="410">
        <f>IF(ISNUMBER((Tasas!E31-Datos!BG31)/Datos!BG31),(Tasas!E31-Datos!BG31)/Datos!BG31," - ")</f>
        <v>-0.24521346676758329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0.64700879788663301</v>
      </c>
      <c r="E33" s="303">
        <f t="shared" si="1"/>
        <v>0.57448449151707182</v>
      </c>
      <c r="F33" s="303">
        <f t="shared" si="1"/>
        <v>0.51000282821653098</v>
      </c>
      <c r="G33" s="304">
        <f t="shared" si="1"/>
        <v>1.0202093668243055</v>
      </c>
      <c r="H33" s="310">
        <f t="shared" si="1"/>
        <v>0.33154503822857939</v>
      </c>
      <c r="I33" s="302">
        <f t="shared" si="1"/>
        <v>2.7573172568514788</v>
      </c>
      <c r="J33" s="303">
        <f t="shared" si="1"/>
        <v>0.24072079276858932</v>
      </c>
      <c r="K33" s="304">
        <f t="shared" si="1"/>
        <v>1.3793220654093492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9OynivRdw7J0WyTKzfccjiAxSIe8Vq/5TF5YCqZYOKtWdsNoEU2P1KyH7hHXT5S5sDSwBodbUw506PXS4goRA==" saltValue="wksqg3lRqNUVx5ETCG0Y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